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40" windowHeight="8808" tabRatio="926" activeTab="22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r:id="rId9"/>
    <sheet name="VI" sheetId="8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17" i="19"/>
  <c r="J20" i="19"/>
  <c r="J18" i="19"/>
  <c r="J37" i="19"/>
  <c r="J12" i="19"/>
  <c r="J39" i="19"/>
  <c r="J9" i="19"/>
  <c r="J13" i="19"/>
  <c r="J24" i="19"/>
  <c r="J10" i="19"/>
  <c r="J33" i="19"/>
  <c r="J8" i="19"/>
  <c r="J14" i="19"/>
  <c r="J40" i="19"/>
  <c r="J38" i="19"/>
  <c r="I42" i="19"/>
  <c r="I17" i="19"/>
  <c r="I20" i="19"/>
  <c r="I15" i="19"/>
  <c r="I18" i="19"/>
  <c r="I37" i="19"/>
  <c r="I12" i="19"/>
  <c r="I39" i="19"/>
  <c r="I9" i="19"/>
  <c r="I13" i="19"/>
  <c r="I24" i="19"/>
  <c r="I10" i="19"/>
  <c r="I33" i="19"/>
  <c r="I8" i="19"/>
  <c r="I14" i="19"/>
  <c r="I40" i="19"/>
  <c r="I38" i="19"/>
  <c r="I16" i="19"/>
  <c r="I11" i="19"/>
  <c r="I43" i="19"/>
  <c r="I3" i="19"/>
  <c r="I30" i="19"/>
  <c r="I41" i="19"/>
  <c r="J16" i="19"/>
  <c r="J11" i="19"/>
  <c r="J43" i="19"/>
  <c r="J3" i="19"/>
  <c r="J30" i="19"/>
  <c r="J41" i="19"/>
  <c r="K38" i="19" l="1"/>
  <c r="K40" i="19"/>
  <c r="M14" i="19"/>
  <c r="K14" i="19"/>
  <c r="K8" i="19"/>
  <c r="K33" i="19"/>
  <c r="K10" i="19"/>
  <c r="M24" i="19"/>
  <c r="K24" i="19"/>
  <c r="K13" i="19"/>
  <c r="M9" i="19"/>
  <c r="K9" i="19"/>
  <c r="M39" i="19"/>
  <c r="K39" i="19"/>
  <c r="K12" i="19"/>
  <c r="K37" i="19"/>
  <c r="K18" i="19"/>
  <c r="K15" i="19"/>
  <c r="K20" i="19"/>
  <c r="M17" i="19"/>
  <c r="K17" i="19"/>
  <c r="M42" i="19"/>
  <c r="K42" i="19"/>
  <c r="K16" i="19" l="1"/>
  <c r="K11" i="19"/>
  <c r="K43" i="19"/>
  <c r="K3" i="19"/>
  <c r="K30" i="19"/>
  <c r="K41" i="19"/>
  <c r="K23" i="19"/>
  <c r="K34" i="19"/>
  <c r="K21" i="19"/>
  <c r="K31" i="19"/>
  <c r="K6" i="19"/>
  <c r="K22" i="19"/>
  <c r="K19" i="19"/>
  <c r="K36" i="19"/>
  <c r="K32" i="19"/>
  <c r="K4" i="19"/>
  <c r="K35" i="19"/>
  <c r="K26" i="19"/>
  <c r="K28" i="19"/>
  <c r="K25" i="19"/>
  <c r="K7" i="19"/>
  <c r="K27" i="19"/>
  <c r="K29" i="19"/>
  <c r="K5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6" i="19"/>
  <c r="J22" i="19"/>
  <c r="J19" i="19"/>
  <c r="J36" i="19"/>
  <c r="J32" i="19"/>
  <c r="J4" i="19"/>
  <c r="M8" i="19" s="1"/>
  <c r="J35" i="19"/>
  <c r="J26" i="19"/>
  <c r="J28" i="19"/>
  <c r="J25" i="19"/>
  <c r="J7" i="19"/>
  <c r="J27" i="19"/>
  <c r="J29" i="19"/>
  <c r="J5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6" i="19"/>
  <c r="I22" i="19"/>
  <c r="I19" i="19"/>
  <c r="I36" i="19"/>
  <c r="I32" i="19"/>
  <c r="I4" i="19"/>
  <c r="I35" i="19"/>
  <c r="I26" i="19"/>
  <c r="I28" i="19"/>
  <c r="I25" i="19"/>
  <c r="I7" i="19"/>
  <c r="I27" i="19"/>
  <c r="I29" i="19"/>
  <c r="I5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18" i="19"/>
  <c r="M10" i="19"/>
  <c r="M38" i="19"/>
  <c r="M33" i="19"/>
  <c r="M12" i="19"/>
  <c r="M20" i="19"/>
  <c r="M15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G6" i="8"/>
  <c r="J6" i="8"/>
  <c r="L5" i="8"/>
  <c r="AJ6" i="8"/>
  <c r="AO3" i="8" s="1"/>
  <c r="AI6" i="8"/>
  <c r="AN5" i="8" s="1"/>
  <c r="AH6" i="8"/>
  <c r="AM4" i="8" s="1"/>
  <c r="H6" i="8"/>
  <c r="AJ5" i="8"/>
  <c r="AI5" i="8"/>
  <c r="AN6" i="8" s="1"/>
  <c r="I5" i="8"/>
  <c r="F5" i="8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M3" i="8"/>
  <c r="L3" i="8"/>
  <c r="AD3" i="8" s="1"/>
  <c r="K3" i="8"/>
  <c r="J3" i="8"/>
  <c r="I3" i="8"/>
  <c r="H3" i="8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AB6" i="8" l="1"/>
  <c r="AB3" i="8"/>
  <c r="AC3" i="8"/>
  <c r="AC4" i="6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P5" i="8" s="1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P4" i="8" s="1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AO4" i="8"/>
  <c r="AK4" i="8" s="1"/>
  <c r="M5" i="8"/>
  <c r="AD5" i="8" s="1"/>
  <c r="K6" i="8"/>
  <c r="AD6" i="8" s="1"/>
  <c r="AG6" i="8"/>
  <c r="P6" i="8" s="1"/>
  <c r="N6" i="8"/>
  <c r="AK6" i="8"/>
  <c r="AK5" i="8"/>
  <c r="AP5" i="8"/>
  <c r="Q5" i="8" s="1"/>
  <c r="K4" i="8"/>
  <c r="O4" i="8" s="1"/>
  <c r="G5" i="8"/>
  <c r="AB5" i="8" s="1"/>
  <c r="AP6" i="8"/>
  <c r="Q6" i="8" s="1"/>
  <c r="N3" i="8"/>
  <c r="AN3" i="8"/>
  <c r="L4" i="8"/>
  <c r="AD4" i="8" s="1"/>
  <c r="H5" i="8"/>
  <c r="AC5" i="8" s="1"/>
  <c r="O3" i="8"/>
  <c r="AG3" i="8"/>
  <c r="P3" i="8" s="1"/>
  <c r="I6" i="8"/>
  <c r="AC6" i="8" s="1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N4" i="8" l="1"/>
  <c r="O6" i="8"/>
  <c r="R6" i="8" s="1"/>
  <c r="O5" i="8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Q4" i="8" s="1"/>
  <c r="AB3" i="9"/>
  <c r="R3" i="9" s="1"/>
  <c r="P7" i="9"/>
  <c r="AK4" i="9"/>
  <c r="R4" i="9" s="1"/>
  <c r="AP4" i="9"/>
  <c r="Q4" i="9" s="1"/>
  <c r="Q7" i="9" s="1"/>
  <c r="N5" i="8"/>
  <c r="AC4" i="8"/>
  <c r="P7" i="8"/>
  <c r="AP3" i="8"/>
  <c r="Q3" i="8" s="1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4" i="8" l="1"/>
  <c r="Q7" i="8"/>
  <c r="R5" i="8"/>
  <c r="R3" i="24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6" i="19"/>
  <c r="M11" i="19"/>
  <c r="M43" i="19"/>
  <c r="M3" i="19"/>
  <c r="M30" i="19"/>
  <c r="M41" i="19"/>
  <c r="M23" i="19"/>
  <c r="M34" i="19"/>
  <c r="M21" i="19"/>
  <c r="M31" i="19"/>
  <c r="M6" i="19"/>
  <c r="M22" i="19"/>
  <c r="M19" i="19"/>
  <c r="M36" i="19"/>
  <c r="M32" i="19"/>
  <c r="M4" i="19"/>
  <c r="M35" i="19"/>
  <c r="M26" i="19"/>
  <c r="M28" i="19"/>
  <c r="M25" i="19"/>
  <c r="M7" i="19"/>
  <c r="M27" i="19"/>
  <c r="M29" i="19"/>
  <c r="M5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<sst xmlns="http://schemas.openxmlformats.org/spreadsheetml/2006/main" count="3331" uniqueCount="1584">
  <si>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</si>
  <si>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</si>
  <si>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</si>
  <si>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</si>
  <si>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</si>
  <si>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</si>
  <si>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</si>
  <si>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</si>
  <si>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</si>
  <si>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</si>
  <si>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</si>
  <si>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</si>
  <si>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</si>
  <si>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</si>
  <si>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</si>
  <si>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</si>
  <si>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</si>
  <si>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</si>
  <si>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</si>
  <si>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</si>
  <si>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</si>
  <si>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</si>
  <si>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</si>
  <si>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</si>
  <si>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</si>
  <si>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</si>
  <si>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</si>
  <si>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</si>
  <si>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</si>
  <si>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</si>
  <si>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</si>
  <si>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</si>
  <si>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</si>
  <si>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</si>
  <si>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</si>
  <si>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</si>
  <si>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</si>
  <si>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</si>
  <si>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</si>
  <si>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</si>
  <si>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</si>
  <si>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</si>
  <si>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</si>
  <si>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</si>
  <si>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</si>
  <si>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</si>
  <si>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</si>
  <si>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</si>
  <si>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</si>
  <si>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</si>
  <si>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</si>
  <si>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</si>
  <si>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</si>
  <si>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</si>
  <si>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</si>
  <si>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</si>
  <si>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</si>
  <si>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</si>
  <si>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</si>
  <si>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</si>
  <si>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</si>
  <si>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</si>
  <si>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</si>
  <si>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</si>
  <si>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</si>
  <si>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</si>
  <si>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</si>
  <si>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</si>
  <si>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</si>
  <si>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</si>
  <si>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</si>
  <si>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</si>
  <si>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</si>
  <si>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</si>
  <si>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</si>
  <si>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</si>
  <si>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</si>
  <si>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</si>
  <si>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</si>
  <si>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</si>
  <si>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</si>
  <si>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</si>
  <si>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</si>
  <si>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</si>
  <si>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</si>
  <si>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</si>
  <si>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</si>
  <si>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</si>
  <si>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</si>
  <si>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</si>
  <si>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</si>
  <si>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</si>
  <si>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</si>
  <si>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</si>
  <si>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</si>
  <si>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</si>
  <si>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</si>
  <si>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</si>
  <si>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</si>
  <si>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</si>
  <si>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</si>
  <si>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</si>
  <si>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</si>
  <si>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</si>
  <si>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</si>
  <si>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</si>
  <si>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</si>
  <si>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</si>
  <si>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</si>
  <si>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</si>
  <si>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</si>
  <si>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</si>
  <si>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</si>
  <si>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</si>
  <si>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</si>
  <si>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</si>
  <si>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</si>
  <si>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</si>
  <si>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</si>
  <si>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</si>
  <si>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</si>
  <si>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</si>
  <si>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</si>
  <si>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</si>
  <si>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</si>
  <si>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</si>
  <si>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</si>
  <si>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</si>
  <si>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</si>
  <si>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</si>
  <si>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</si>
  <si>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</si>
  <si>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</si>
  <si>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</si>
  <si>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</si>
  <si>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</si>
  <si>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</si>
  <si>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</si>
  <si>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</si>
  <si>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</si>
  <si>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</si>
  <si>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</si>
  <si>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</si>
  <si>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</si>
  <si>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</si>
  <si>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</si>
  <si>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</si>
  <si>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</si>
  <si>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</si>
  <si>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</si>
  <si>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</si>
  <si>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</si>
  <si>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</si>
  <si>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</si>
  <si>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</si>
  <si>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</si>
  <si>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</si>
  <si>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</si>
  <si>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</si>
  <si>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</si>
  <si>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</si>
  <si>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</si>
  <si>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</si>
  <si>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</si>
  <si>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</si>
  <si>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</si>
  <si>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</si>
  <si>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</si>
  <si>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</si>
  <si>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</si>
  <si>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</si>
  <si>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</si>
  <si>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</si>
  <si>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</si>
  <si>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</si>
  <si>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</si>
  <si>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</si>
  <si>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</si>
  <si>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</si>
  <si>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</si>
  <si>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</si>
  <si>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</si>
  <si>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</si>
  <si>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</si>
  <si>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</si>
  <si>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</si>
  <si>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</si>
  <si>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</si>
  <si>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</si>
  <si>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</si>
  <si>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</si>
  <si>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</si>
  <si>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</si>
  <si>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</si>
  <si>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</si>
  <si>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</si>
  <si>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</si>
  <si>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</si>
  <si>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</si>
  <si>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</si>
  <si>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</si>
  <si>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</si>
  <si>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</si>
  <si>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</si>
  <si>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</si>
  <si>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</si>
  <si>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</si>
  <si>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</si>
  <si>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</si>
  <si>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</si>
  <si>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</si>
  <si>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</si>
  <si>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</si>
  <si>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</si>
  <si>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</si>
  <si>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</si>
  <si>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</si>
  <si>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</si>
  <si>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</si>
  <si>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</si>
  <si>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</si>
  <si>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</si>
  <si>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</si>
  <si>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</si>
  <si>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</si>
  <si>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</si>
  <si>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</si>
  <si>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</si>
  <si>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</si>
  <si>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</si>
  <si>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</si>
  <si>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</si>
  <si>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</si>
  <si>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</si>
  <si>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</si>
  <si>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</si>
  <si>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</si>
  <si>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</si>
  <si>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</si>
  <si>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</si>
  <si>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</si>
  <si>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</si>
  <si>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</si>
  <si>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</si>
  <si>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</si>
  <si>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</si>
  <si>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</si>
  <si>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</si>
  <si>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</si>
  <si>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</si>
  <si>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</si>
  <si>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</si>
  <si>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</si>
  <si>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</si>
  <si>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</si>
  <si>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</si>
  <si>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</si>
  <si>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</si>
  <si>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</si>
  <si>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</si>
  <si>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</si>
  <si>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</si>
  <si>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</si>
  <si>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</si>
  <si>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</si>
  <si>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</si>
  <si>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</si>
  <si>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</si>
  <si>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</si>
  <si>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</si>
  <si>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</si>
  <si>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</si>
  <si>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</si>
  <si>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</si>
  <si>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</si>
  <si>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</si>
  <si>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</si>
  <si>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</si>
  <si>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</si>
  <si>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</si>
  <si>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</si>
  <si>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</si>
  <si>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</si>
  <si>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</si>
  <si>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</si>
  <si>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</si>
  <si>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</si>
  <si>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</si>
  <si>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</si>
  <si>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</si>
  <si>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</si>
  <si>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</si>
  <si>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</si>
  <si>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</si>
  <si>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</si>
  <si>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</si>
  <si>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</si>
  <si>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</si>
  <si>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</si>
  <si>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</si>
  <si>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</si>
  <si>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</si>
  <si>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</si>
  <si>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</si>
  <si>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</si>
  <si>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</si>
  <si>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</si>
  <si>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</si>
  <si>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</si>
  <si>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</si>
  <si>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</si>
  <si>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</si>
  <si>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</si>
  <si>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</si>
  <si>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</si>
  <si>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</si>
  <si>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</si>
  <si>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</si>
  <si>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</si>
  <si>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</si>
  <si>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</si>
  <si>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</si>
  <si>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</si>
  <si>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</si>
  <si>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</si>
  <si>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</si>
  <si>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</si>
  <si>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</si>
  <si>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</si>
  <si>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</si>
  <si>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</si>
  <si>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</si>
  <si>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</si>
  <si>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</si>
  <si>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</si>
  <si>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</si>
  <si>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</si>
  <si>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</si>
  <si>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</si>
  <si>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</si>
  <si>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</si>
  <si>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</si>
  <si>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</si>
  <si>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</si>
  <si>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</si>
  <si>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</si>
  <si>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</si>
  <si>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</si>
  <si>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</si>
  <si>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</si>
  <si>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</si>
  <si>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</si>
  <si>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</si>
  <si>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</si>
  <si>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</si>
  <si>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</si>
  <si>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</si>
  <si>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</si>
  <si>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</si>
  <si>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</si>
  <si>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</si>
  <si>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</si>
  <si>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</si>
  <si>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</si>
  <si>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</si>
  <si>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</si>
  <si>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</si>
  <si>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</si>
  <si>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</si>
  <si>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</si>
  <si>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</si>
  <si>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</si>
  <si>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</si>
  <si>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</si>
  <si>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</si>
  <si>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</si>
  <si>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</si>
  <si>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</si>
  <si>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</si>
  <si>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</si>
  <si>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</si>
  <si>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</si>
  <si>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</si>
  <si>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</si>
  <si>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</si>
  <si>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</si>
  <si>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</si>
  <si>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</si>
  <si>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</si>
  <si>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</si>
  <si>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</si>
  <si>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</si>
  <si>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</si>
  <si>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</si>
  <si>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</si>
  <si>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</si>
  <si>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</si>
  <si>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</si>
  <si>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</si>
  <si>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</si>
  <si>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</si>
  <si>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</si>
  <si>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</si>
  <si>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</si>
  <si>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</si>
  <si>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</si>
  <si>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</si>
  <si>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</si>
  <si>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</si>
  <si>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</si>
  <si>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</si>
  <si>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</si>
  <si>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</si>
  <si>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</si>
  <si>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</si>
  <si>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</si>
  <si>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</si>
  <si>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</si>
  <si>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</si>
  <si>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</si>
  <si>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</si>
  <si>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</si>
  <si>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</si>
  <si>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</si>
  <si>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</si>
  <si>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</si>
  <si>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</si>
  <si>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</si>
  <si>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</si>
  <si>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</si>
  <si>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</si>
  <si>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</si>
  <si>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</si>
  <si>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</si>
  <si>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</si>
  <si>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</si>
  <si>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</si>
  <si>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</si>
  <si>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</si>
  <si>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</si>
  <si>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</si>
  <si>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</si>
  <si>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</si>
  <si>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</si>
  <si>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</si>
  <si>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</si>
  <si>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</si>
  <si>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</si>
  <si>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</si>
  <si>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</si>
  <si>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</si>
  <si>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</si>
  <si>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</si>
  <si>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</si>
  <si>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</si>
  <si>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</si>
  <si>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</si>
  <si>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</si>
  <si>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</si>
  <si>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</si>
  <si>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</si>
  <si>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</si>
  <si>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</si>
  <si>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</si>
  <si>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</si>
  <si>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</si>
  <si>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</si>
  <si>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</si>
  <si>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</si>
  <si>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</si>
  <si>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</si>
  <si>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</si>
  <si>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</si>
  <si>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</si>
  <si>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</si>
  <si>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</si>
  <si>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</si>
  <si>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</si>
  <si>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</si>
  <si>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</si>
  <si>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</si>
  <si>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</si>
  <si>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</si>
  <si>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</si>
  <si>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</si>
  <si>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</si>
  <si>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</si>
  <si>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</si>
  <si>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</si>
  <si>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</si>
  <si>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</si>
  <si>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</si>
  <si>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</si>
  <si>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</si>
  <si>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</si>
  <si>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</si>
  <si>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</si>
  <si>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</si>
  <si>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</si>
  <si>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</si>
  <si>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</si>
  <si>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</si>
  <si>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</si>
  <si>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</si>
  <si>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</si>
  <si>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</si>
  <si>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</si>
  <si>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</si>
  <si>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</si>
  <si>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</si>
  <si>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</si>
  <si>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</si>
  <si>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</si>
  <si>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</si>
  <si>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</si>
  <si>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</si>
  <si>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</si>
  <si>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</si>
  <si>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</si>
  <si>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</si>
  <si>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</si>
  <si>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</si>
  <si>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</si>
  <si>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</si>
  <si>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</si>
  <si>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</si>
  <si>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</si>
  <si>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</si>
  <si>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</si>
  <si>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</si>
  <si>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</si>
  <si>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</si>
  <si>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</si>
  <si>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</si>
  <si>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</si>
  <si>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</si>
  <si>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</si>
  <si>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</si>
  <si>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</si>
  <si>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</si>
  <si>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</si>
  <si>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</si>
  <si>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</si>
  <si>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</si>
  <si>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</si>
  <si>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</si>
  <si>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</si>
  <si>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</si>
  <si>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</si>
  <si>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</si>
  <si>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</si>
  <si>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</si>
  <si>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</si>
  <si>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</si>
  <si>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</si>
  <si>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</si>
  <si>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</si>
  <si>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</si>
  <si>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</si>
  <si>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</si>
  <si>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</si>
  <si>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</si>
  <si>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</si>
  <si>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</si>
  <si>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</si>
  <si>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</si>
  <si>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</si>
  <si>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</si>
  <si>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</si>
  <si>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</si>
  <si>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</si>
  <si>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</si>
  <si>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</si>
  <si>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</si>
  <si>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</si>
  <si>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</si>
  <si>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</si>
  <si>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</si>
  <si>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</si>
  <si>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</si>
  <si>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</si>
  <si>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</si>
  <si>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</si>
  <si>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</si>
  <si>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</si>
  <si>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</si>
  <si>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</si>
  <si>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</si>
  <si>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</si>
  <si>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</si>
  <si>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</si>
  <si>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</si>
  <si>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</si>
  <si>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</si>
  <si>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</si>
  <si>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</si>
  <si>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</si>
  <si>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</si>
  <si>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</si>
  <si>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</si>
  <si>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</si>
  <si>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</si>
  <si>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</si>
  <si>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</si>
  <si>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</si>
  <si>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</si>
  <si>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</si>
  <si>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</si>
  <si>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</si>
  <si>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</si>
  <si>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</si>
  <si>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</si>
  <si>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</si>
  <si>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</si>
  <si>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</si>
  <si>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</si>
  <si>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</si>
  <si>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</si>
  <si>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</si>
  <si>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</si>
  <si>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</si>
  <si>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</si>
  <si>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</si>
  <si>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</si>
  <si>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</si>
  <si>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</si>
  <si>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</si>
  <si>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</si>
  <si>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</si>
  <si>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</si>
  <si>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</si>
  <si>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</si>
  <si>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</si>
  <si>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</si>
  <si>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</si>
  <si>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</si>
  <si>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</si>
  <si>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</si>
  <si>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</si>
  <si>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</si>
  <si>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</si>
  <si>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</si>
  <si>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</si>
  <si>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</si>
  <si>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</si>
  <si>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</si>
  <si>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</si>
  <si>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</si>
  <si>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</si>
  <si>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</si>
  <si>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</si>
  <si>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</si>
  <si>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</si>
  <si>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</si>
  <si>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</si>
  <si>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</si>
  <si>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</si>
  <si>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</si>
  <si>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</si>
  <si>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</si>
  <si>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</si>
  <si>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</si>
  <si>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</si>
  <si>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</si>
  <si>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</si>
  <si>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</si>
  <si>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</si>
  <si>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</si>
  <si>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</si>
  <si>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</si>
  <si>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</si>
  <si>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</si>
  <si>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</si>
  <si>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</si>
  <si>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</si>
  <si>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</si>
  <si>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</si>
  <si>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</si>
  <si>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</si>
  <si>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</si>
  <si>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</si>
  <si>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</si>
  <si>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</si>
  <si>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</si>
  <si>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</si>
  <si>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</si>
  <si>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</si>
  <si>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</si>
  <si>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</si>
  <si>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</si>
  <si>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</si>
  <si>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</si>
  <si>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</si>
  <si>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</si>
  <si>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</si>
  <si>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</si>
  <si>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</si>
  <si>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</si>
  <si>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</si>
  <si>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</si>
  <si>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</si>
  <si>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</si>
  <si>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</si>
  <si>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</si>
  <si>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</si>
  <si>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</si>
  <si>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</si>
  <si>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</si>
  <si>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</si>
  <si>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</si>
  <si>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</si>
  <si>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</si>
  <si>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</si>
  <si>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</si>
  <si>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</si>
  <si>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</si>
  <si>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</si>
  <si>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</si>
  <si>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</si>
  <si>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</si>
  <si>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</si>
  <si>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</si>
  <si>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</si>
  <si>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</si>
  <si>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</si>
  <si>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</si>
  <si>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</si>
  <si>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</si>
  <si>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</si>
  <si>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</si>
  <si>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</si>
  <si>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</si>
  <si>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</si>
  <si>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</si>
  <si>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</si>
  <si>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</si>
  <si>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</si>
  <si>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</si>
  <si>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</si>
  <si>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</si>
  <si>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</si>
  <si>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</si>
  <si>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</si>
  <si>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</si>
  <si>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</si>
  <si>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</si>
  <si>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</si>
  <si>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</si>
  <si>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</si>
  <si>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</si>
  <si>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</si>
  <si>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</si>
  <si>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</si>
  <si>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</si>
  <si>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</si>
  <si>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</si>
  <si>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</si>
  <si>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</si>
  <si>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</si>
  <si>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</si>
  <si>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</si>
  <si>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</si>
  <si>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</si>
  <si>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</si>
  <si>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</si>
  <si>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</si>
  <si>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</si>
  <si>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</si>
  <si>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</si>
  <si>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</si>
  <si>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</si>
  <si>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</si>
  <si>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</si>
  <si>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</si>
  <si>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</si>
  <si>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</si>
  <si>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</si>
  <si>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</si>
  <si>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</si>
  <si>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</si>
  <si>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</si>
  <si>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</si>
  <si>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</si>
  <si>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</si>
  <si>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</si>
  <si>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</si>
  <si>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</si>
  <si>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</si>
  <si>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</si>
  <si>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</si>
  <si>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</si>
  <si>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</si>
  <si>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</si>
  <si>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</si>
  <si>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</si>
  <si>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</si>
  <si>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</si>
  <si>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</si>
  <si>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</si>
  <si>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</si>
  <si>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</si>
  <si>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</si>
  <si>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</si>
  <si>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</si>
  <si>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</si>
  <si>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</si>
  <si>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</si>
  <si>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</si>
  <si>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</si>
  <si>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</si>
  <si>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</si>
  <si>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</si>
  <si>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</si>
  <si>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</si>
  <si>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</si>
  <si>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</si>
  <si>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</si>
  <si>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</si>
  <si>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</si>
  <si>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</si>
  <si>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</si>
  <si>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</si>
  <si>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</si>
  <si>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</si>
  <si>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</si>
  <si>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</si>
  <si>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</si>
  <si>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</si>
  <si>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</si>
  <si>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</si>
  <si>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</si>
  <si>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</si>
  <si>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</si>
  <si>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</si>
  <si>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</si>
  <si>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</si>
  <si>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</si>
  <si>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</si>
  <si>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</si>
  <si>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</si>
  <si>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</si>
  <si>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</si>
  <si>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</si>
  <si>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</si>
  <si>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</si>
  <si>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</si>
  <si>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</si>
  <si>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</si>
  <si>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</si>
  <si>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</si>
  <si>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</si>
  <si>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</si>
  <si>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</si>
  <si>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</si>
  <si>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</si>
  <si>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</si>
  <si>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</si>
  <si>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</si>
  <si>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</si>
  <si>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</si>
  <si>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</si>
  <si>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</si>
  <si>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</si>
  <si>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</si>
  <si>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</si>
  <si>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</si>
  <si>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</si>
  <si>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</si>
  <si>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</si>
  <si>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</si>
  <si>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</si>
  <si>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</si>
  <si>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</si>
  <si>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</si>
  <si>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</si>
  <si>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</si>
  <si>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</si>
  <si>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</si>
  <si>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</si>
  <si>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</si>
  <si>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</si>
  <si>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</si>
  <si>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</si>
  <si>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</si>
  <si>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</si>
  <si>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</si>
  <si>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</si>
  <si>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</si>
  <si>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</si>
  <si>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</si>
  <si>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</si>
  <si>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</si>
  <si>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</si>
  <si>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</si>
  <si>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</si>
  <si>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</si>
  <si>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</si>
  <si>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</si>
  <si>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</si>
  <si>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</si>
  <si>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</si>
  <si>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</si>
  <si>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</si>
  <si>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</si>
  <si>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</si>
  <si>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</si>
  <si>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</si>
  <si>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</si>
  <si>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</si>
  <si>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</si>
  <si>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</si>
  <si>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</si>
  <si>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</si>
  <si>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</si>
  <si>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</si>
  <si>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</si>
  <si>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</si>
  <si>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</si>
  <si>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</si>
  <si>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</si>
  <si>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</si>
  <si>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</si>
  <si>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</si>
  <si>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</si>
  <si>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</si>
  <si>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</si>
  <si>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</si>
  <si>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</si>
  <si>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</si>
  <si>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</si>
  <si>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</si>
  <si>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</si>
  <si>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</si>
  <si>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</si>
  <si>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</si>
  <si>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</si>
  <si>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</si>
  <si>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</si>
  <si>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</si>
  <si>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</si>
  <si>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</si>
  <si>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</si>
  <si>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</si>
  <si>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</si>
  <si>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</si>
  <si>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</si>
  <si>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</si>
  <si>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</si>
  <si>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</si>
  <si>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</si>
  <si>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</si>
  <si>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</si>
  <si>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</si>
  <si>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</si>
  <si>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</si>
  <si>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</si>
  <si>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</si>
  <si>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</si>
  <si>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</si>
  <si>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</si>
  <si>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</si>
  <si>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</si>
  <si>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</si>
  <si>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</si>
  <si>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</si>
  <si>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</si>
  <si>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</si>
  <si>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</si>
  <si>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</si>
  <si>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</si>
  <si>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</si>
  <si>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</si>
  <si>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</si>
  <si>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</si>
  <si>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</si>
  <si>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</si>
  <si>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</si>
  <si>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</si>
  <si>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</si>
  <si>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</si>
  <si>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</si>
  <si>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</si>
  <si>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</si>
  <si>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</si>
  <si>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</si>
  <si>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</si>
  <si>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</si>
  <si>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</si>
  <si>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</si>
  <si>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</si>
  <si>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</si>
  <si>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</si>
  <si>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</si>
  <si>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</si>
  <si>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</si>
  <si>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</si>
  <si>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</si>
  <si>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</si>
  <si>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</si>
  <si>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</si>
  <si>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</si>
  <si>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</si>
  <si>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</si>
  <si>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</si>
  <si>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</si>
  <si>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</si>
  <si>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</si>
  <si>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</si>
  <si>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</si>
  <si>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</si>
  <si>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</si>
  <si>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</si>
  <si>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</si>
  <si>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</si>
  <si>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</si>
  <si>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</si>
  <si>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</si>
  <si>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</si>
  <si>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</si>
  <si>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</si>
  <si>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</si>
  <si>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</si>
  <si>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</si>
  <si>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</si>
  <si>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</si>
  <si>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</si>
  <si>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</si>
  <si>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</si>
  <si>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</si>
  <si>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</si>
  <si>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</si>
  <si>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</si>
  <si>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</si>
  <si>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</si>
  <si>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</si>
  <si>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</si>
  <si>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</si>
  <si>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</si>
  <si>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</si>
  <si>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</si>
  <si>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</si>
  <si>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</si>
  <si>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</si>
  <si>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</si>
  <si>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</si>
  <si>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</si>
  <si>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</si>
  <si>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</si>
  <si>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</si>
  <si>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</si>
  <si>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</si>
  <si>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</si>
  <si>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</si>
  <si>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</si>
  <si>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</si>
  <si>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</si>
  <si>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</si>
  <si>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</si>
  <si>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</si>
  <si>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</si>
  <si>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</si>
  <si>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</si>
  <si>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</si>
  <si>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</si>
  <si>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</si>
  <si>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</si>
  <si>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</si>
  <si>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</si>
  <si>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</si>
  <si>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</si>
  <si>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</si>
  <si>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</si>
  <si>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</si>
  <si>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</si>
  <si>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</si>
  <si>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</si>
  <si>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</si>
  <si>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</si>
  <si>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</si>
  <si>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</si>
  <si>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</si>
  <si>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</si>
  <si>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</si>
  <si>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</si>
  <si>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</si>
  <si>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</si>
  <si>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</si>
  <si>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</si>
  <si>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</si>
  <si>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</si>
  <si>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</si>
  <si>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</si>
  <si>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</si>
  <si>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</si>
  <si>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</si>
  <si>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</si>
  <si>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</si>
  <si>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</si>
  <si>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</si>
  <si>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</si>
  <si>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</si>
  <si>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</si>
  <si>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</si>
  <si>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</si>
  <si>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</si>
  <si>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</si>
  <si>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</si>
  <si>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</si>
  <si>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</si>
  <si>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</si>
  <si>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</si>
  <si>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</si>
  <si>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</si>
  <si>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</si>
  <si>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</si>
  <si>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</si>
  <si>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</si>
  <si>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</si>
  <si>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</si>
  <si>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</si>
  <si>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</si>
  <si>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</si>
  <si>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</si>
  <si>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</si>
  <si>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</si>
  <si>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</si>
  <si>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</si>
  <si>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</si>
  <si>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</si>
  <si>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</si>
  <si>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</si>
  <si>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</si>
  <si>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</si>
  <si>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</si>
  <si>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</si>
  <si>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</si>
  <si>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</si>
  <si>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</si>
  <si>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</si>
  <si>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</si>
  <si>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</si>
  <si>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</si>
  <si>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</si>
  <si>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</si>
  <si>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</si>
  <si>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</si>
  <si>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</si>
  <si>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</si>
  <si>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</si>
  <si>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</si>
  <si>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</si>
  <si>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</si>
  <si>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</si>
  <si>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</si>
  <si>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</si>
  <si>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</si>
  <si>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</si>
  <si>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</si>
  <si>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</si>
  <si>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</si>
  <si>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</si>
  <si>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</si>
  <si>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</si>
  <si>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</si>
  <si>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</si>
  <si>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</si>
  <si>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</si>
  <si>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</si>
  <si>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</si>
  <si>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</si>
  <si>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</si>
  <si>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</si>
  <si>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</si>
  <si>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</si>
  <si>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</si>
  <si>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</si>
  <si>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</si>
  <si>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</si>
  <si>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</si>
  <si>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</si>
  <si>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</si>
  <si>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</si>
  <si>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</si>
  <si>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</si>
  <si>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</si>
  <si>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</si>
  <si>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</si>
  <si>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</si>
  <si>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</si>
  <si>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</si>
  <si>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</si>
  <si>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</si>
  <si>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</si>
  <si>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</si>
  <si>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</si>
  <si>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</si>
  <si>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</si>
  <si>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</si>
  <si>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</si>
  <si>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</si>
  <si>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</si>
  <si>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</si>
  <si>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</si>
  <si>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</si>
  <si>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</si>
  <si>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</si>
  <si>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</si>
  <si>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</si>
  <si>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</si>
  <si>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</si>
  <si>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</si>
  <si>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</si>
  <si>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</si>
  <si>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</si>
  <si>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</si>
  <si>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</si>
  <si>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</si>
  <si>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</si>
  <si>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</si>
  <si>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</si>
  <si>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</si>
  <si>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</si>
  <si>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</si>
  <si>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</si>
  <si>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</si>
  <si>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</si>
  <si>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</si>
  <si>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</si>
  <si>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</si>
  <si>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</si>
  <si>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</si>
  <si>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</si>
  <si>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</si>
  <si>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</si>
  <si>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</si>
  <si>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</si>
  <si>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</si>
  <si>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</si>
  <si>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</si>
  <si>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</si>
  <si>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</si>
  <si>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</si>
  <si>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</si>
  <si>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</si>
  <si>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</si>
  <si>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</si>
  <si>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</si>
  <si>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</si>
  <si>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</si>
  <si>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</si>
  <si>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</si>
  <si>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</si>
  <si>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</si>
  <si>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</si>
  <si>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</si>
  <si>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</si>
  <si>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</si>
  <si>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</si>
  <si>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</si>
  <si>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</si>
  <si>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</si>
  <si>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</si>
  <si>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</si>
  <si>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</si>
  <si>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</si>
  <si>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</si>
  <si>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</si>
  <si>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</si>
  <si>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</si>
  <si>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</si>
  <si>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</si>
  <si>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</si>
  <si>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</si>
  <si>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</si>
  <si>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</si>
  <si>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</si>
  <si>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</si>
  <si>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</si>
  <si>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</si>
  <si>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</si>
  <si>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</si>
  <si>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</si>
  <si>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</si>
  <si>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</si>
  <si>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</si>
  <si>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</si>
  <si>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</si>
  <si>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</si>
  <si>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</si>
  <si>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</si>
  <si>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</si>
  <si>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</si>
  <si>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</si>
  <si>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</si>
  <si>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</si>
  <si>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</si>
  <si>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</si>
  <si>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</si>
  <si>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</si>
  <si>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</si>
  <si>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</si>
  <si>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</si>
  <si>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</si>
  <si>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</si>
  <si>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</si>
  <si>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</si>
  <si>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</si>
  <si>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</si>
  <si>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</si>
  <si>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</si>
  <si>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</si>
  <si>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</si>
  <si>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</si>
  <si>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</si>
  <si>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</si>
  <si>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</si>
  <si>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</si>
  <si>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</si>
  <si>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</si>
  <si>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</si>
  <si>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</si>
  <si>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</si>
  <si>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</si>
  <si>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</si>
  <si>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</si>
  <si>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</si>
  <si>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</si>
  <si>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</si>
  <si>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</si>
  <si>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</si>
  <si>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</si>
  <si>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</si>
  <si>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</si>
  <si>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</si>
  <si>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</si>
  <si>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</si>
  <si>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</si>
  <si>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</si>
  <si>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</si>
  <si>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</si>
  <si>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</si>
  <si>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</si>
  <si>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</si>
  <si>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</si>
  <si>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</si>
  <si>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</si>
  <si>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</si>
  <si>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</si>
  <si>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</si>
  <si>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</si>
  <si>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</si>
  <si>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</si>
  <si>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</si>
  <si>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</si>
  <si>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</si>
  <si>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</si>
  <si>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</si>
  <si>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</si>
  <si>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</si>
  <si>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</si>
  <si>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</si>
  <si>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</si>
  <si>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</si>
  <si>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</si>
  <si>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</si>
  <si>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</si>
  <si>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</si>
  <si>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</si>
  <si>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</si>
  <si>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</si>
  <si>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</si>
  <si>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</si>
  <si>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</si>
  <si>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</si>
  <si>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</si>
  <si>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</si>
  <si>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</si>
  <si>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</si>
  <si>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</si>
  <si>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</si>
  <si>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</si>
  <si>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</si>
  <si>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</si>
  <si>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</si>
  <si>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</si>
  <si>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</si>
  <si>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</si>
  <si>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</si>
  <si>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</si>
  <si>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</si>
  <si>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</si>
  <si>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</si>
  <si>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</si>
  <si>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</si>
  <si>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</si>
  <si>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</si>
  <si>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</si>
  <si>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</si>
  <si>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</si>
  <si>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</si>
  <si>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</si>
  <si>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</si>
  <si>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</si>
  <si>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</si>
  <si>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</si>
  <si>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</si>
  <si>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</si>
  <si>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</si>
  <si>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</si>
  <si>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</si>
  <si>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</si>
  <si>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</si>
  <si>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</si>
  <si>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</si>
  <si>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</si>
  <si>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</si>
  <si>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</si>
  <si>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</si>
  <si>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</si>
  <si>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</si>
  <si>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</si>
  <si>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</si>
  <si>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</si>
  <si>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</si>
  <si>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</si>
  <si>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</si>
  <si>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</si>
  <si>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</si>
  <si>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</si>
  <si>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</si>
  <si>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</si>
  <si>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</si>
  <si>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</si>
  <si>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</si>
  <si>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</si>
  <si>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</si>
  <si>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</si>
  <si>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</si>
  <si>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</si>
  <si>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</si>
  <si>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</si>
  <si>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</si>
  <si>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</si>
  <si>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</si>
  <si>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</si>
  <si>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</si>
  <si>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</si>
  <si>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</si>
  <si>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</si>
  <si>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</si>
  <si>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</si>
  <si>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</si>
  <si>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</si>
  <si>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</si>
  <si>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</si>
  <si>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</si>
  <si>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</si>
  <si>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</si>
  <si>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</si>
  <si>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</si>
  <si>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</si>
  <si>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</si>
  <si>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</si>
  <si>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</si>
  <si>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</si>
  <si>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</si>
  <si>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</si>
  <si>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</si>
  <si>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</si>
  <si>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</si>
  <si>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</si>
  <si>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</si>
  <si>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</si>
  <si>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</si>
  <si>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</si>
  <si>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</si>
  <si>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</si>
  <si>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</si>
  <si>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</si>
  <si>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</si>
  <si>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</si>
  <si>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</si>
  <si>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</si>
  <si>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</si>
  <si>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</si>
  <si>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</si>
  <si>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</si>
  <si>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</si>
  <si>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</si>
  <si>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</si>
  <si>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</si>
  <si>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</si>
  <si>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</si>
  <si>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</si>
  <si>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</si>
  <si>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</si>
  <si>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</si>
  <si>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</si>
  <si>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</si>
  <si>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</si>
  <si>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</si>
  <si>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</si>
  <si>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</si>
  <si>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</si>
  <si>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</si>
  <si>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</si>
  <si>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</si>
  <si>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</si>
  <si>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</si>
  <si>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</si>
  <si>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</si>
  <si>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</si>
  <si>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</si>
  <si>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</si>
  <si>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</si>
  <si>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</si>
  <si>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</si>
  <si>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</si>
  <si>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</si>
  <si>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</si>
  <si>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</si>
  <si>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</si>
  <si>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</si>
  <si>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</si>
  <si>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</si>
  <si>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</si>
  <si>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</si>
  <si>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</si>
  <si>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</si>
  <si>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</si>
  <si>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</si>
  <si>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</si>
  <si>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</si>
  <si>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</si>
  <si>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</si>
  <si>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</si>
  <si>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</si>
  <si>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</si>
  <si>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</si>
  <si>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</si>
  <si>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</si>
  <si>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</si>
  <si>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</si>
  <si>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</si>
  <si>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</si>
  <si>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</si>
  <si>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</si>
  <si>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</si>
  <si>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</si>
  <si>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</si>
  <si>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</si>
  <si>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</si>
  <si>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</si>
  <si>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</si>
  <si>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</si>
  <si>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</si>
  <si>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</si>
  <si>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</si>
  <si>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</si>
  <si>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</si>
  <si>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</si>
  <si>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</si>
  <si>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</si>
  <si>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</si>
  <si>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</si>
  <si>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</si>
  <si>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</si>
  <si>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</si>
  <si>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</si>
  <si>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</si>
  <si>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</si>
  <si>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</si>
  <si>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</si>
  <si>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</si>
  <si>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</si>
  <si>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</si>
  <si>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</si>
  <si>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</si>
  <si>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</si>
  <si>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</si>
  <si>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</si>
  <si>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</si>
  <si>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У19 M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</si>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</sst>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" fillId="15" borderId="1" xfId="0" applyFont="1" applyFill="1" applyBorder="1"/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xmlns="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xmlns="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xmlns="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xmlns="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xmlns="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xmlns="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xmlns="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xmlns="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xmlns="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xmlns="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xmlns="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xmlns="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xmlns="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xmlns="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xmlns="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xmlns="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xmlns="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xmlns="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xmlns="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xmlns="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xmlns="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xmlns="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xmlns="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xmlns="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xmlns="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xmlns="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xmlns="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xmlns="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xmlns="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xmlns="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xmlns="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xmlns="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xmlns="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xmlns="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xmlns="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xmlns="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xmlns="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xmlns="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xmlns="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xmlns="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xmlns="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xmlns="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xmlns="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xmlns="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xmlns="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xmlns="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xmlns="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xmlns="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xmlns="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xmlns="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xmlns="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xmlns="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xmlns="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xmlns="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xmlns="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xmlns="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xmlns="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xmlns="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xmlns="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xmlns="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xmlns="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xmlns="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xmlns="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xmlns="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xmlns="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xmlns="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xmlns="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xmlns="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xmlns="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xmlns="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xmlns="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xmlns="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xmlns="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xmlns="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xmlns="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xmlns="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xmlns="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xmlns="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xmlns="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xmlns="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xmlns="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xmlns="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xmlns="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xmlns="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xmlns="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xmlns="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xmlns="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xmlns="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xmlns="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xmlns="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xmlns="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xmlns="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xmlns="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xmlns="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xmlns="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xmlns="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xmlns="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xmlns="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xmlns="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xmlns="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xmlns="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xmlns="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xmlns="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xmlns="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xmlns="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xmlns="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xmlns="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xmlns="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xmlns="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xmlns="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xmlns="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xmlns="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xmlns="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xmlns="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xmlns="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xmlns="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xmlns="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xmlns="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xmlns="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xmlns="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xmlns="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xmlns="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xmlns="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xmlns="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xmlns="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xmlns="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xmlns="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xmlns="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xmlns="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xmlns="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xmlns="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xmlns="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xmlns="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xmlns="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xmlns="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xmlns="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xmlns="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xmlns="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xmlns="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xmlns="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xmlns="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xmlns="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xmlns="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xmlns="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xmlns="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xmlns="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xmlns="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xmlns="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xmlns="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xmlns="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xmlns="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xmlns="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xmlns="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xmlns="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xmlns="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xmlns="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xmlns="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xmlns="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xmlns="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xmlns="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xmlns="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xmlns="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xmlns="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xmlns="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xmlns="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xmlns="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xmlns="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xmlns="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xmlns="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xmlns="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xmlns="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xmlns="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xmlns="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xmlns="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xmlns="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xmlns="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xmlns="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xmlns="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xmlns="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xmlns="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xmlns="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xmlns="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xmlns="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xmlns="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xmlns="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xmlns="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xmlns="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xmlns="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xmlns="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xmlns="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xmlns="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xmlns="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xmlns="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xmlns="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xmlns="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xmlns="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xmlns="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xmlns="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xmlns="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xmlns="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xmlns="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xmlns="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xmlns="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xmlns="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xmlns="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xmlns="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xmlns="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xmlns="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xmlns="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xmlns="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xmlns="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xmlns="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xmlns="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xmlns="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xmlns="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xmlns="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xmlns="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xmlns="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xmlns="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xmlns="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xmlns="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xmlns="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xmlns="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xmlns="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xmlns="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xmlns="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xmlns="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xmlns="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xmlns="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xmlns="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xmlns="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xmlns="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xmlns="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xmlns="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xmlns="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xmlns="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xmlns="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xmlns="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xmlns="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xmlns="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xmlns="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xmlns="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xmlns="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xmlns="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xmlns="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xmlns="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xmlns="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xmlns="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xmlns="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xmlns="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xmlns="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xmlns="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xmlns="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xmlns="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xmlns="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xmlns="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xmlns="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xmlns="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xmlns="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xmlns="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xmlns="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xmlns="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xmlns="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xmlns="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xmlns="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xmlns="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xmlns="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xmlns="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xmlns="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xmlns="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xmlns="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xmlns="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xmlns="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xmlns="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xmlns="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xmlns="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xmlns="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xmlns="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xmlns="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xmlns="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xmlns="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xmlns="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xmlns="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xmlns="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xmlns="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xmlns="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xmlns="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xmlns="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xmlns="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xmlns="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xmlns="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xmlns="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xmlns="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xmlns="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xmlns="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xmlns="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xmlns="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xmlns="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xmlns="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xmlns="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xmlns="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xmlns="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xmlns="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xmlns="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xmlns="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xmlns="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xmlns="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xmlns="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xmlns="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xmlns="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xmlns="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xmlns="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xmlns="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xmlns="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xmlns="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xmlns="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xmlns="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xmlns="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xmlns="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xmlns="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xmlns="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xmlns="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xmlns="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xmlns="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xmlns="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xmlns="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xmlns="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xmlns="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xmlns="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xmlns="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xmlns="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xmlns="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xmlns="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xmlns="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xmlns="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xmlns="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xmlns="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xmlns="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xmlns="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xmlns="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xmlns="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xmlns="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xmlns="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xmlns="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xmlns="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xmlns="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xmlns="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xmlns="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xmlns="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xmlns="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xmlns="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xmlns="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xmlns="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xmlns="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xmlns="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xmlns="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xmlns="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xmlns="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xmlns="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xmlns="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xmlns="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xmlns="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xmlns="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xmlns="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xmlns="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xmlns="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xmlns="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xmlns="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xmlns="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xmlns="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xmlns="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xmlns="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xmlns="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xmlns="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xmlns="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xmlns="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xmlns="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xmlns="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xmlns="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xmlns="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xmlns="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xmlns="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xmlns="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xmlns="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xmlns="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xmlns="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xmlns="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xmlns="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xmlns="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xmlns="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xmlns="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xmlns="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xmlns="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nev\Downloads\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topLeftCell="D1" zoomScaleNormal="100" workbookViewId="0">
      <selection activeCell="P14" sqref="P14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69" t="s">
        <v>123</v>
      </c>
      <c r="C1" s="370"/>
      <c r="D1" s="370"/>
      <c r="E1" s="370"/>
      <c r="F1" s="371" t="s">
        <v>121</v>
      </c>
      <c r="G1" s="372"/>
      <c r="H1" s="372"/>
      <c r="I1" s="372"/>
      <c r="J1" s="372"/>
      <c r="K1" s="372"/>
      <c r="L1" s="372"/>
      <c r="M1" s="372"/>
      <c r="N1" s="372"/>
      <c r="O1" s="373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74" t="s">
        <v>62</v>
      </c>
      <c r="C3" s="267">
        <v>1</v>
      </c>
      <c r="D3" s="293" t="str">
        <f t="shared" ref="D3:D34" si="0">IF(ISERROR(VLOOKUP(C3,$G$3:$I$66,3,FALSE)),"",(VLOOKUP(C3,$G$3:$I$66,3,FALSE)))</f>
        <v>Лука Стојчев (73)</v>
      </c>
      <c r="E3" s="294" t="str">
        <f t="shared" ref="E3:E33" si="1">IF(D3="","",INDEX($J$3:$J$42,MATCH(C3,$G$3:$G$42,0)))</f>
        <v>Астраион</v>
      </c>
      <c r="F3" s="299"/>
      <c r="G3" s="250">
        <v>1</v>
      </c>
      <c r="H3" s="339">
        <v>73</v>
      </c>
      <c r="I3" s="252" t="str">
        <f>IF(ISERROR(VLOOKUP(H3,Baza!A:C,2,FALSE)&amp;" "&amp;"("&amp;H3&amp;")"),"",(VLOOKUP(H3,Baza!A:C,2,FALSE)&amp;" "&amp;"("&amp;H3&amp;")"))</f>
        <v>Лука Стојчев (73)</v>
      </c>
      <c r="J3" s="252" t="str">
        <f>IF(ISERROR(VLOOKUP(H3,Baza!A:C,3,FALSE)),"",(VLOOKUP(H3,Baza!A:C,3,FALSE)))</f>
        <v>Астраион</v>
      </c>
      <c r="K3" s="357" t="str">
        <f>IF(ISERROR(VLOOKUP(H3,Baza!A:D,4,FALSE)),"",(VLOOKUP(H3,Baza!A:D,4,FALSE)))</f>
        <v>29.06.2007</v>
      </c>
      <c r="M3" s="239" t="e">
        <f t="shared" ref="M3:M34" si="2">VLOOKUP(C3,$H$3:$J$66,3,FALSE)</f>
        <v>#N/A</v>
      </c>
      <c r="N3" s="239">
        <v>21</v>
      </c>
      <c r="O3" s="358">
        <v>1077</v>
      </c>
      <c r="Q3" s="318"/>
    </row>
    <row r="4" spans="2:17">
      <c r="B4" s="375"/>
      <c r="C4" s="265">
        <v>2</v>
      </c>
      <c r="D4" s="287" t="str">
        <f t="shared" si="0"/>
        <v>Јаков Кузмановски (443)</v>
      </c>
      <c r="E4" s="288" t="str">
        <f t="shared" si="1"/>
        <v>Куманово</v>
      </c>
      <c r="F4" s="284"/>
      <c r="G4" s="243">
        <v>5</v>
      </c>
      <c r="H4" s="243">
        <v>178</v>
      </c>
      <c r="I4" s="252" t="str">
        <f>IF(ISERROR(VLOOKUP(H4,Baza!A:C,2,FALSE)&amp;" "&amp;"("&amp;H4&amp;")"),"",(VLOOKUP(H4,Baza!A:C,2,FALSE)&amp;" "&amp;"("&amp;H4&amp;")"))</f>
        <v>Александар Јакимовски (178)</v>
      </c>
      <c r="J4" s="252" t="str">
        <f>IF(ISERROR(VLOOKUP(H4,Baza!A:C,3,FALSE)),"",(VLOOKUP(H4,Baza!A:C,3,FALSE)))</f>
        <v>Крива Паланка</v>
      </c>
      <c r="K4" s="311" t="str">
        <f>IF(ISERROR(VLOOKUP(H4,Baza!A:D,4,FALSE)),"",(VLOOKUP(H4,Baza!A:D,4,FALSE)))</f>
        <v>13.03.2008</v>
      </c>
      <c r="M4" s="239" t="e">
        <f t="shared" si="2"/>
        <v>#N/A</v>
      </c>
      <c r="N4" s="239">
        <v>33</v>
      </c>
      <c r="O4" s="338">
        <v>801</v>
      </c>
      <c r="Q4" s="318"/>
    </row>
    <row r="5" spans="2:17">
      <c r="B5" s="375"/>
      <c r="C5" s="265">
        <v>3</v>
      </c>
      <c r="D5" s="287" t="str">
        <f t="shared" si="0"/>
        <v>Марко Цикарски (550)</v>
      </c>
      <c r="E5" s="288" t="str">
        <f t="shared" si="1"/>
        <v>Берово 2</v>
      </c>
      <c r="F5" s="284"/>
      <c r="G5" s="243">
        <v>9</v>
      </c>
      <c r="H5" s="243">
        <v>538</v>
      </c>
      <c r="I5" s="252" t="str">
        <f>IF(ISERROR(VLOOKUP(H5,Baza!A:C,2,FALSE)&amp;" "&amp;"("&amp;H5&amp;")"),"",(VLOOKUP(H5,Baza!A:C,2,FALSE)&amp;" "&amp;"("&amp;H5&amp;")"))</f>
        <v>Јаков Јакимовски (538)</v>
      </c>
      <c r="J5" s="252" t="str">
        <f>IF(ISERROR(VLOOKUP(H5,Baza!A:C,3,FALSE)),"",(VLOOKUP(H5,Baza!A:C,3,FALSE)))</f>
        <v>Куманово</v>
      </c>
      <c r="K5" s="311" t="str">
        <f>IF(ISERROR(VLOOKUP(H5,Baza!A:D,4,FALSE)),"",(VLOOKUP(H5,Baza!A:D,4,FALSE)))</f>
        <v>16.08.2009</v>
      </c>
      <c r="M5" s="239" t="e">
        <f t="shared" si="2"/>
        <v>#N/A</v>
      </c>
      <c r="N5" s="239">
        <v>41</v>
      </c>
      <c r="O5" s="338">
        <v>474</v>
      </c>
      <c r="Q5" s="318"/>
    </row>
    <row r="6" spans="2:17" ht="16.2" thickBot="1">
      <c r="B6" s="376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>
        <v>13</v>
      </c>
      <c r="H6" s="36">
        <v>47</v>
      </c>
      <c r="I6" s="252" t="str">
        <f>IF(ISERROR(VLOOKUP(H6,Baza!A:C,2,FALSE)&amp;" "&amp;"("&amp;H6&amp;")"),"",(VLOOKUP(H6,Baza!A:C,2,FALSE)&amp;" "&amp;"("&amp;H6&amp;")"))</f>
        <v>Андреј Стојановски (47)</v>
      </c>
      <c r="J6" s="252" t="str">
        <f>IF(ISERROR(VLOOKUP(H6,Baza!A:C,3,FALSE)),"",(VLOOKUP(H6,Baza!A:C,3,FALSE)))</f>
        <v>10 60 АС Ѓорче Петров</v>
      </c>
      <c r="K6" s="311" t="str">
        <f>IF(ISERROR(VLOOKUP(H6,Baza!A:D,4,FALSE)),"",(VLOOKUP(H6,Baza!A:D,4,FALSE)))</f>
        <v>11.08.2008</v>
      </c>
      <c r="M6" s="239" t="e">
        <f t="shared" si="2"/>
        <v>#N/A</v>
      </c>
      <c r="N6" s="239">
        <v>28</v>
      </c>
      <c r="O6" s="338">
        <v>471</v>
      </c>
      <c r="Q6" s="318"/>
    </row>
    <row r="7" spans="2:17">
      <c r="B7" s="377" t="s">
        <v>63</v>
      </c>
      <c r="C7" s="264">
        <v>5</v>
      </c>
      <c r="D7" s="285" t="str">
        <f t="shared" si="0"/>
        <v>Александар Јакимовски (178)</v>
      </c>
      <c r="E7" s="286" t="str">
        <f t="shared" si="1"/>
        <v>Крива Паланка</v>
      </c>
      <c r="F7" s="284"/>
      <c r="G7" s="243">
        <v>17</v>
      </c>
      <c r="H7" s="36">
        <v>499</v>
      </c>
      <c r="I7" s="252" t="str">
        <f>IF(ISERROR(VLOOKUP(H7,Baza!A:C,2,FALSE)&amp;" "&amp;"("&amp;H7&amp;")"),"",(VLOOKUP(H7,Baza!A:C,2,FALSE)&amp;" "&amp;"("&amp;H7&amp;")"))</f>
        <v>Дарко Китановски (499)</v>
      </c>
      <c r="J7" s="252" t="str">
        <f>IF(ISERROR(VLOOKUP(H7,Baza!A:C,3,FALSE)),"",(VLOOKUP(H7,Baza!A:C,3,FALSE)))</f>
        <v>Пелагонија</v>
      </c>
      <c r="K7" s="311" t="str">
        <f>IF(ISERROR(VLOOKUP(H7,Baza!A:D,4,FALSE)),"",(VLOOKUP(H7,Baza!A:D,4,FALSE)))</f>
        <v>30.05.2009</v>
      </c>
      <c r="M7" s="239" t="e">
        <f t="shared" si="2"/>
        <v>#N/A</v>
      </c>
      <c r="N7" s="239">
        <v>38</v>
      </c>
      <c r="O7" s="338">
        <v>344</v>
      </c>
      <c r="Q7" s="318"/>
    </row>
    <row r="8" spans="2:17">
      <c r="B8" s="375"/>
      <c r="C8" s="265">
        <v>6</v>
      </c>
      <c r="D8" s="287" t="str">
        <f t="shared" si="0"/>
        <v>Јован Пармачки (472)</v>
      </c>
      <c r="E8" s="288" t="str">
        <f t="shared" si="1"/>
        <v>Берово 1</v>
      </c>
      <c r="F8" s="284"/>
      <c r="G8" s="330">
        <v>21</v>
      </c>
      <c r="H8" s="36">
        <v>433</v>
      </c>
      <c r="I8" s="252" t="str">
        <f>IF(ISERROR(VLOOKUP(H8,Baza!A:C,2,FALSE)&amp;" "&amp;"("&amp;H8&amp;")"),"",(VLOOKUP(H8,Baza!A:C,2,FALSE)&amp;" "&amp;"("&amp;H8&amp;")"))</f>
        <v>Мартин Ристески (433)</v>
      </c>
      <c r="J8" s="252" t="str">
        <f>IF(ISERROR(VLOOKUP(H8,Baza!A:C,3,FALSE)),"",(VLOOKUP(H8,Baza!A:C,3,FALSE)))</f>
        <v>Полиоспорт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17</v>
      </c>
      <c r="O8" s="330">
        <v>308</v>
      </c>
      <c r="Q8" s="318"/>
    </row>
    <row r="9" spans="2:17">
      <c r="B9" s="375"/>
      <c r="C9" s="265">
        <v>7</v>
      </c>
      <c r="D9" s="287" t="str">
        <f t="shared" si="0"/>
        <v>Андреј Бејковски (440)</v>
      </c>
      <c r="E9" s="288" t="str">
        <f t="shared" si="1"/>
        <v xml:space="preserve"> </v>
      </c>
      <c r="F9" s="284"/>
      <c r="G9" s="330">
        <v>22</v>
      </c>
      <c r="H9" s="36">
        <v>420</v>
      </c>
      <c r="I9" s="252" t="str">
        <f>IF(ISERROR(VLOOKUP(H9,Baza!A:C,2,FALSE)&amp;" "&amp;"("&amp;H9&amp;")"),"",(VLOOKUP(H9,Baza!A:C,2,FALSE)&amp;" "&amp;"("&amp;H9&amp;")"))</f>
        <v>Кристијан Митев (420)</v>
      </c>
      <c r="J9" s="252" t="str">
        <f>IF(ISERROR(VLOOKUP(H9,Baza!A:C,3,FALSE)),"",(VLOOKUP(H9,Baza!A:C,3,FALSE)))</f>
        <v>Пелагонија</v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7</v>
      </c>
      <c r="O9" s="330">
        <v>157</v>
      </c>
      <c r="Q9" s="318"/>
    </row>
    <row r="10" spans="2:17" ht="16.2" thickBot="1">
      <c r="B10" s="378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330">
        <v>14</v>
      </c>
      <c r="H10" s="36">
        <v>347</v>
      </c>
      <c r="I10" s="252" t="str">
        <f>IF(ISERROR(VLOOKUP(H10,Baza!A:C,2,FALSE)&amp;" "&amp;"("&amp;H10&amp;")"),"",(VLOOKUP(H10,Baza!A:C,2,FALSE)&amp;" "&amp;"("&amp;H10&amp;")"))</f>
        <v>Кристијан Каламадевски (347)</v>
      </c>
      <c r="J10" s="252" t="str">
        <f>IF(ISERROR(VLOOKUP(H10,Baza!A:C,3,FALSE)),"",(VLOOKUP(H10,Baza!A:C,3,FALSE)))</f>
        <v>Берово 1</v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15</v>
      </c>
      <c r="O10" s="330">
        <v>144</v>
      </c>
      <c r="Q10" s="318"/>
    </row>
    <row r="11" spans="2:17">
      <c r="B11" s="374" t="s">
        <v>64</v>
      </c>
      <c r="C11" s="267">
        <v>9</v>
      </c>
      <c r="D11" s="293" t="str">
        <f t="shared" si="0"/>
        <v>Јаков Јакимовски (538)</v>
      </c>
      <c r="E11" s="294" t="str">
        <f t="shared" si="1"/>
        <v>Куманово</v>
      </c>
      <c r="F11" s="284"/>
      <c r="G11" s="243">
        <v>18</v>
      </c>
      <c r="H11" s="36">
        <v>287</v>
      </c>
      <c r="I11" s="252" t="str">
        <f>IF(ISERROR(VLOOKUP(H11,Baza!A:C,2,FALSE)&amp;" "&amp;"("&amp;H11&amp;")"),"",(VLOOKUP(H11,Baza!A:C,2,FALSE)&amp;" "&amp;"("&amp;H11&amp;")"))</f>
        <v>Давид Јоноски (287)</v>
      </c>
      <c r="J11" s="252" t="str">
        <f>IF(ISERROR(VLOOKUP(H11,Baza!A:C,3,FALSE)),"",(VLOOKUP(H11,Baza!A:C,3,FALSE)))</f>
        <v>Младост 96 2</v>
      </c>
      <c r="K11" s="311" t="str">
        <f>IF(ISERROR(VLOOKUP(H11,Baza!A:D,4,FALSE)),"",(VLOOKUP(H11,Baza!A:D,4,FALSE)))</f>
        <v>11.01.2010</v>
      </c>
      <c r="M11" s="239" t="e">
        <f t="shared" si="2"/>
        <v>#N/A</v>
      </c>
      <c r="N11" s="239">
        <v>19</v>
      </c>
      <c r="O11" s="338">
        <v>86</v>
      </c>
      <c r="Q11" s="318"/>
    </row>
    <row r="12" spans="2:17">
      <c r="B12" s="375"/>
      <c r="C12" s="265">
        <v>10</v>
      </c>
      <c r="D12" s="287" t="str">
        <f t="shared" si="0"/>
        <v>Дамјан Петровиќ (536)</v>
      </c>
      <c r="E12" s="288" t="str">
        <f t="shared" si="1"/>
        <v>Дебар Маало</v>
      </c>
      <c r="F12" s="284"/>
      <c r="G12" s="330">
        <v>6</v>
      </c>
      <c r="H12" s="36">
        <v>472</v>
      </c>
      <c r="I12" s="252" t="str">
        <f>IF(ISERROR(VLOOKUP(H12,Baza!A:C,2,FALSE)&amp;" "&amp;"("&amp;H12&amp;")"),"",(VLOOKUP(H12,Baza!A:C,2,FALSE)&amp;" "&amp;"("&amp;H12&amp;")"))</f>
        <v>Јован Пармачки (472)</v>
      </c>
      <c r="J12" s="252" t="str">
        <f>IF(ISERROR(VLOOKUP(H12,Baza!A:C,3,FALSE)),"",(VLOOKUP(H12,Baza!A:C,3,FALSE)))</f>
        <v>Берово 1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6</v>
      </c>
      <c r="O12" s="330">
        <v>76</v>
      </c>
      <c r="Q12" s="318"/>
    </row>
    <row r="13" spans="2:17">
      <c r="B13" s="375"/>
      <c r="C13" s="265">
        <v>11</v>
      </c>
      <c r="D13" s="287" t="str">
        <f t="shared" si="0"/>
        <v>Филип Цековски (566)</v>
      </c>
      <c r="E13" s="288" t="str">
        <f t="shared" si="1"/>
        <v>Берово 1</v>
      </c>
      <c r="F13" s="284"/>
      <c r="G13" s="330">
        <v>10</v>
      </c>
      <c r="H13" s="36">
        <v>536</v>
      </c>
      <c r="I13" s="252" t="str">
        <f>IF(ISERROR(VLOOKUP(H13,Baza!A:C,2,FALSE)&amp;" "&amp;"("&amp;H13&amp;")"),"",(VLOOKUP(H13,Baza!A:C,2,FALSE)&amp;" "&amp;"("&amp;H13&amp;")"))</f>
        <v>Дамјан Петровиќ (536)</v>
      </c>
      <c r="J13" s="252" t="str">
        <f>IF(ISERROR(VLOOKUP(H13,Baza!A:C,3,FALSE)),"",(VLOOKUP(H13,Baza!A:C,3,FALSE)))</f>
        <v>Дебар Маало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>
        <v>45</v>
      </c>
      <c r="Q13" s="318"/>
    </row>
    <row r="14" spans="2:17" ht="16.2" thickBot="1">
      <c r="B14" s="376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330">
        <v>2</v>
      </c>
      <c r="H14" s="36">
        <v>443</v>
      </c>
      <c r="I14" s="252" t="str">
        <f>IF(ISERROR(VLOOKUP(H14,Baza!A:C,2,FALSE)&amp;" "&amp;"("&amp;H14&amp;")"),"",(VLOOKUP(H14,Baza!A:C,2,FALSE)&amp;" "&amp;"("&amp;H14&amp;")"))</f>
        <v>Јаков Кузмановски (443)</v>
      </c>
      <c r="J14" s="252" t="str">
        <f>IF(ISERROR(VLOOKUP(H14,Baza!A:C,3,FALSE)),"",(VLOOKUP(H14,Baza!A:C,3,FALSE)))</f>
        <v>Куманово</v>
      </c>
      <c r="K14" s="327" t="str">
        <f>IF(ISERROR(VLOOKUP(H14,[1]Baza!A:D,4,FALSE)),"",(VLOOKUP(H14,[1]Baza!A:D,4,FALSE)))</f>
        <v/>
      </c>
      <c r="L14" s="331"/>
      <c r="M14" s="332" t="e">
        <f t="shared" si="2"/>
        <v>#N/A</v>
      </c>
      <c r="N14" s="332">
        <v>11</v>
      </c>
      <c r="O14" s="330">
        <v>31</v>
      </c>
      <c r="Q14" s="318"/>
    </row>
    <row r="15" spans="2:17">
      <c r="B15" s="377" t="s">
        <v>65</v>
      </c>
      <c r="C15" s="264">
        <v>13</v>
      </c>
      <c r="D15" s="285" t="str">
        <f t="shared" si="0"/>
        <v>Андреј Стојановски (47)</v>
      </c>
      <c r="E15" s="286" t="str">
        <f t="shared" si="1"/>
        <v>10 60 АС Ѓорче Петров</v>
      </c>
      <c r="F15" s="284"/>
      <c r="G15" s="330">
        <v>7</v>
      </c>
      <c r="H15" s="36">
        <v>440</v>
      </c>
      <c r="I15" s="252" t="str">
        <f>IF(ISERROR(VLOOKUP(H15,Baza!A:C,2,FALSE)&amp;" "&amp;"("&amp;H15&amp;")"),"",(VLOOKUP(H15,Baza!A:C,2,FALSE)&amp;" "&amp;"("&amp;H15&amp;")"))</f>
        <v>Андреј Бејковски (440)</v>
      </c>
      <c r="J15" s="486" t="s">
        <v>1583</v>
      </c>
      <c r="K15" s="327" t="str">
        <f>IF(ISERROR(VLOOKUP(H15,[1]Baza!A:D,4,FALSE)),"",(VLOOKUP(H15,[1]Baza!A:D,4,FALSE)))</f>
        <v/>
      </c>
      <c r="L15" s="331"/>
      <c r="M15" s="332" t="e">
        <f t="shared" si="2"/>
        <v>#N/A</v>
      </c>
      <c r="N15" s="332">
        <v>4</v>
      </c>
      <c r="O15" s="330">
        <v>23</v>
      </c>
      <c r="Q15" s="318"/>
    </row>
    <row r="16" spans="2:17">
      <c r="B16" s="375"/>
      <c r="C16" s="265">
        <v>14</v>
      </c>
      <c r="D16" s="287" t="str">
        <f t="shared" si="0"/>
        <v>Кристијан Каламадевски (347)</v>
      </c>
      <c r="E16" s="288" t="str">
        <f t="shared" si="1"/>
        <v>Берово 1</v>
      </c>
      <c r="F16" s="284"/>
      <c r="G16" s="243">
        <v>11</v>
      </c>
      <c r="H16" s="36">
        <v>566</v>
      </c>
      <c r="I16" s="252" t="str">
        <f>IF(ISERROR(VLOOKUP(H16,Baza!A:C,2,FALSE)&amp;" "&amp;"("&amp;H16&amp;")"),"",(VLOOKUP(H16,Baza!A:C,2,FALSE)&amp;" "&amp;"("&amp;H16&amp;")"))</f>
        <v>Филип Цековски (566)</v>
      </c>
      <c r="J16" s="252" t="str">
        <f>IF(ISERROR(VLOOKUP(H16,Baza!A:C,3,FALSE)),"",(VLOOKUP(H16,Baza!A:C,3,FALSE)))</f>
        <v>Берово 1</v>
      </c>
      <c r="K16" s="311" t="str">
        <f>IF(ISERROR(VLOOKUP(H16,Baza!A:D,4,FALSE)),"",(VLOOKUP(H16,Baza!A:D,4,FALSE)))</f>
        <v>13.02.2014</v>
      </c>
      <c r="M16" s="239" t="e">
        <f t="shared" si="2"/>
        <v>#N/A</v>
      </c>
      <c r="N16" s="239">
        <v>18</v>
      </c>
      <c r="O16" s="338">
        <v>23</v>
      </c>
      <c r="Q16" s="318"/>
    </row>
    <row r="17" spans="2:15">
      <c r="B17" s="375"/>
      <c r="C17" s="265">
        <v>15</v>
      </c>
      <c r="D17" s="287" t="str">
        <f t="shared" si="0"/>
        <v>Павел Постоловски (706)</v>
      </c>
      <c r="E17" s="288" t="str">
        <f t="shared" si="1"/>
        <v>Крива Паланка</v>
      </c>
      <c r="F17" s="284"/>
      <c r="G17" s="330">
        <v>15</v>
      </c>
      <c r="H17" s="36">
        <v>706</v>
      </c>
      <c r="I17" s="252" t="str">
        <f>IF(ISERROR(VLOOKUP(H17,Baza!A:C,2,FALSE)&amp;" "&amp;"("&amp;H17&amp;")"),"",(VLOOKUP(H17,Baza!A:C,2,FALSE)&amp;" "&amp;"("&amp;H17&amp;")"))</f>
        <v>Павел Постоловски (706)</v>
      </c>
      <c r="J17" s="252" t="str">
        <f>IF(ISERROR(VLOOKUP(H17,Baza!A:C,3,FALSE)),"",(VLOOKUP(H17,Baza!A:C,3,FALSE)))</f>
        <v>Крива Паланка</v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1</v>
      </c>
      <c r="O17" s="330">
        <v>11</v>
      </c>
    </row>
    <row r="18" spans="2:15" ht="16.2" thickBot="1">
      <c r="B18" s="378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330">
        <v>23</v>
      </c>
      <c r="H18" s="36">
        <v>769</v>
      </c>
      <c r="I18" s="252" t="str">
        <f>IF(ISERROR(VLOOKUP(H18,Baza!A:C,2,FALSE)&amp;" "&amp;"("&amp;H18&amp;")"),"",(VLOOKUP(H18,Baza!A:C,2,FALSE)&amp;" "&amp;"("&amp;H18&amp;")"))</f>
        <v>Максим Митревски (769)</v>
      </c>
      <c r="J18" s="252" t="str">
        <f>IF(ISERROR(VLOOKUP(H18,Baza!A:C,3,FALSE)),"",(VLOOKUP(H18,Baza!A:C,3,FALSE)))</f>
        <v>10 60 АС Ѓорче Петров</v>
      </c>
      <c r="K18" s="327" t="str">
        <f>IF(ISERROR(VLOOKUP(H18,[1]Baza!A:D,4,FALSE)),"",(VLOOKUP(H18,[1]Baza!A:D,4,FALSE)))</f>
        <v/>
      </c>
      <c r="L18" s="331"/>
      <c r="M18" s="332" t="e">
        <f t="shared" si="2"/>
        <v>#N/A</v>
      </c>
      <c r="N18" s="332">
        <v>2</v>
      </c>
      <c r="O18" s="330">
        <v>0</v>
      </c>
    </row>
    <row r="19" spans="2:15">
      <c r="B19" s="374" t="s">
        <v>66</v>
      </c>
      <c r="C19" s="273">
        <v>17</v>
      </c>
      <c r="D19" s="293" t="str">
        <f t="shared" si="0"/>
        <v>Дарко Китановски (499)</v>
      </c>
      <c r="E19" s="294" t="str">
        <f t="shared" si="1"/>
        <v>Пелагонија</v>
      </c>
      <c r="F19" s="284"/>
      <c r="G19" s="243">
        <v>19</v>
      </c>
      <c r="H19" s="36">
        <v>560</v>
      </c>
      <c r="I19" s="252" t="str">
        <f>IF(ISERROR(VLOOKUP(H19,Baza!A:C,2,FALSE)&amp;" "&amp;"("&amp;H19&amp;")"),"",(VLOOKUP(H19,Baza!A:C,2,FALSE)&amp;" "&amp;"("&amp;H19&amp;")"))</f>
        <v>Димитар Парасков (560)</v>
      </c>
      <c r="J19" s="252" t="str">
        <f>IF(ISERROR(VLOOKUP(H19,Baza!A:C,3,FALSE)),"",(VLOOKUP(H19,Baza!A:C,3,FALSE)))</f>
        <v>Берово 2</v>
      </c>
      <c r="K19" s="311" t="str">
        <f>IF(ISERROR(VLOOKUP(H19,Baza!A:D,4,FALSE)),"",(VLOOKUP(H19,Baza!A:D,4,FALSE)))</f>
        <v>24.12.2012</v>
      </c>
      <c r="M19" s="239" t="e">
        <f t="shared" si="2"/>
        <v>#N/A</v>
      </c>
      <c r="N19" s="239">
        <v>30</v>
      </c>
      <c r="O19" s="338">
        <v>0</v>
      </c>
    </row>
    <row r="20" spans="2:15" ht="16.2" thickBot="1">
      <c r="B20" s="375"/>
      <c r="C20" s="270">
        <v>18</v>
      </c>
      <c r="D20" s="287" t="str">
        <f t="shared" si="0"/>
        <v>Давид Јоноски (287)</v>
      </c>
      <c r="E20" s="288" t="str">
        <f t="shared" si="1"/>
        <v>Младост 96 2</v>
      </c>
      <c r="F20" s="284"/>
      <c r="G20" s="360">
        <v>3</v>
      </c>
      <c r="H20" s="361">
        <v>550</v>
      </c>
      <c r="I20" s="362" t="str">
        <f>IF(ISERROR(VLOOKUP(H20,Baza!A:C,2,FALSE)&amp;" "&amp;"("&amp;H20&amp;")"),"",(VLOOKUP(H20,Baza!A:C,2,FALSE)&amp;" "&amp;"("&amp;H20&amp;")"))</f>
        <v>Марко Цикарски (550)</v>
      </c>
      <c r="J20" s="362" t="str">
        <f>IF(ISERROR(VLOOKUP(H20,Baza!A:C,3,FALSE)),"",(VLOOKUP(H20,Baza!A:C,3,FALSE)))</f>
        <v>Берово 2</v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>
        <v>0</v>
      </c>
    </row>
    <row r="21" spans="2:15">
      <c r="B21" s="375"/>
      <c r="C21" s="270">
        <v>19</v>
      </c>
      <c r="D21" s="287" t="str">
        <f t="shared" si="0"/>
        <v>Димитар Парасков (560)</v>
      </c>
      <c r="E21" s="288" t="str">
        <f t="shared" si="1"/>
        <v>Берово 2</v>
      </c>
      <c r="F21" s="284"/>
      <c r="G21" s="239">
        <v>24</v>
      </c>
      <c r="H21" s="62">
        <v>724</v>
      </c>
      <c r="I21" s="359" t="str">
        <f>IF(ISERROR(VLOOKUP(H21,Baza!A:C,2,FALSE)&amp;" "&amp;"("&amp;H21&amp;")"),"",(VLOOKUP(H21,Baza!A:C,2,FALSE)&amp;" "&amp;"("&amp;H21&amp;")"))</f>
        <v>Матеј Тачунски (724)</v>
      </c>
      <c r="J21" s="359" t="str">
        <f>IF(ISERROR(VLOOKUP(H21,Baza!A:C,3,FALSE)),"",(VLOOKUP(H21,Baza!A:C,3,FALSE)))</f>
        <v>Берово 2</v>
      </c>
      <c r="K21" s="357" t="str">
        <f>IF(ISERROR(VLOOKUP(H21,Baza!A:D,4,FALSE)),"",(VLOOKUP(H21,Baza!A:D,4,FALSE)))</f>
        <v>10.12.2013</v>
      </c>
      <c r="M21" s="239" t="e">
        <f t="shared" si="2"/>
        <v>#N/A</v>
      </c>
      <c r="N21" s="239">
        <v>26</v>
      </c>
      <c r="O21" s="358">
        <v>0</v>
      </c>
    </row>
    <row r="22" spans="2:15" ht="16.2" thickBot="1">
      <c r="B22" s="376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77" t="s">
        <v>67</v>
      </c>
      <c r="C23" s="269">
        <v>21</v>
      </c>
      <c r="D23" s="285" t="str">
        <f t="shared" si="0"/>
        <v>Мартин Ристески (433)</v>
      </c>
      <c r="E23" s="286" t="str">
        <f t="shared" si="1"/>
        <v>Полиоспорт</v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5"/>
      <c r="C24" s="270">
        <v>22</v>
      </c>
      <c r="D24" s="287" t="str">
        <f t="shared" si="0"/>
        <v>Кристијан Митев (420)</v>
      </c>
      <c r="E24" s="288" t="str">
        <f t="shared" si="1"/>
        <v>Пелагонија</v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5"/>
      <c r="C25" s="270">
        <v>23</v>
      </c>
      <c r="D25" s="287" t="str">
        <f t="shared" si="0"/>
        <v>Максим Митревски (769)</v>
      </c>
      <c r="E25" s="288" t="str">
        <f t="shared" si="1"/>
        <v>10 60 АС Ѓорче Петров</v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8"/>
      <c r="C26" s="272">
        <v>24</v>
      </c>
      <c r="D26" s="289" t="str">
        <f t="shared" si="0"/>
        <v>Матеј Тачунски (724)</v>
      </c>
      <c r="E26" s="290" t="str">
        <f t="shared" si="1"/>
        <v>Берово 2</v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4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5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5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6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7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5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5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8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4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5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5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6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7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5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5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8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4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5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5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6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7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5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5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str">
        <f t="shared" si="5"/>
        <v>10 60 АС Ѓорче Петров</v>
      </c>
      <c r="N49" s="239">
        <v>47</v>
      </c>
      <c r="O49" s="311"/>
    </row>
    <row r="50" spans="2:15" ht="16.2" thickBot="1">
      <c r="B50" s="378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4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5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5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6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7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5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5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8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4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5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5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6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7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5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5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8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7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5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5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8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7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5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5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8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7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5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5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8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7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5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5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8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7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5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5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8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7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5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5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8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7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5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5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8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7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5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5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8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Мартин Ристески (433)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IF(GROUPS!F9="","",GROUPS!F9)</f>
        <v>Мартин Ристески (433)</v>
      </c>
      <c r="D3" s="399"/>
      <c r="E3" s="400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1</v>
      </c>
      <c r="P3" s="110">
        <f>IF(AND(T9="",T13="",T17=""),"",AG3)</f>
        <v>108</v>
      </c>
      <c r="Q3" s="111">
        <f>IF(AND(T9="",T13="",T17=""),"",AP3)</f>
        <v>47</v>
      </c>
      <c r="R3" s="401">
        <f>IF(ISERROR(IF(AND(T9="",T13="",T17=""),"",SUM(AB3:AD3)+(N3-O3)/1000)+(AK3/10000)),"",IF(AND(T9="",T13="",T17=""),"",SUM(AB3:AD3)+(N3-O3)/1000)+(AK3/10000)+(AG3/100000))</f>
        <v>6.01518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Кристијан Митев (420)</v>
      </c>
      <c r="Y3" s="394"/>
      <c r="Z3" s="395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108</v>
      </c>
      <c r="AH3" s="10">
        <f>F9+H9+J9+L9+N9+P9+R9</f>
        <v>33</v>
      </c>
      <c r="AI3" s="10">
        <f>F13+H13+J13+L13+N13+P13+R13</f>
        <v>42</v>
      </c>
      <c r="AJ3" s="10">
        <f>F17+H17+J17+L17+N17+P17+R17</f>
        <v>33</v>
      </c>
      <c r="AK3" s="402">
        <f>SUM(AH3:AJ3)-SUM(AM3:AO3)</f>
        <v>61</v>
      </c>
      <c r="AL3" s="403"/>
      <c r="AM3" s="10">
        <f>AH5</f>
        <v>9</v>
      </c>
      <c r="AN3" s="10">
        <f>AI4</f>
        <v>29</v>
      </c>
      <c r="AO3" s="10">
        <f>AJ6</f>
        <v>9</v>
      </c>
      <c r="AP3" s="9">
        <f>SUM(AM3:AO3)</f>
        <v>47</v>
      </c>
    </row>
    <row r="4" spans="2:47" ht="24" customHeight="1">
      <c r="B4" s="101">
        <v>2</v>
      </c>
      <c r="C4" s="398" t="str">
        <f>IF(GROUPS!F10="","",GROUPS!F10)</f>
        <v>Кристијан Митев (420)</v>
      </c>
      <c r="D4" s="399"/>
      <c r="E4" s="400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7</v>
      </c>
      <c r="O4" s="109">
        <f>IF(AND(T10="",U13="",U18=""),"",SUM(G4,K4,M4))</f>
        <v>3</v>
      </c>
      <c r="P4" s="110">
        <f>IF(AND(T10="",U13="",U18=""),"",AG4)</f>
        <v>95</v>
      </c>
      <c r="Q4" s="111">
        <f>IF(AND(T10="",U13="",U18=""),"",AP4)</f>
        <v>66</v>
      </c>
      <c r="R4" s="401">
        <f>IF(ISERROR(IF(AND(T10="",U13="",U18=""),"",SUM(AB4:AD4)+(N4-O4)/1000)+(AK4/10000)+(AG4/100000)),"",IF(AND(T10="",U13="",U18=""),"",SUM(AB4:AD4)+(N4-O4)/1000)+(AK4/10000)+(AG4/100000))</f>
        <v>5.0078499999999995</v>
      </c>
      <c r="S4" s="401"/>
      <c r="T4" s="112">
        <f>IF(ISERROR(IF(C4="","",RANK(R4,$R$3:$S$6,0))),"",IF(C4="","",RANK(R4,$R$3:$S$6,0)))</f>
        <v>2</v>
      </c>
      <c r="U4" s="9"/>
      <c r="V4" s="9"/>
      <c r="W4" s="7">
        <v>3</v>
      </c>
      <c r="X4" s="404" t="str">
        <f t="shared" si="0"/>
        <v>Матеј Тачунски (724)</v>
      </c>
      <c r="Y4" s="405"/>
      <c r="Z4" s="406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95</v>
      </c>
      <c r="AH4" s="10">
        <f>F10+H10+J10+L10+N10+P10+R10</f>
        <v>33</v>
      </c>
      <c r="AI4" s="10">
        <f>G13+I13+K13+M13+O13+Q13+S13</f>
        <v>29</v>
      </c>
      <c r="AJ4" s="10">
        <f>G18+I18+K18+M18+O18+Q18+S18</f>
        <v>33</v>
      </c>
      <c r="AK4" s="402">
        <f t="shared" ref="AK4:AK6" si="2">SUM(AH4:AJ4)-SUM(AM4:AO4)</f>
        <v>29</v>
      </c>
      <c r="AL4" s="403"/>
      <c r="AM4" s="10">
        <f>AH6</f>
        <v>10</v>
      </c>
      <c r="AN4" s="10">
        <f>AI3</f>
        <v>42</v>
      </c>
      <c r="AO4" s="10">
        <f>AJ5</f>
        <v>14</v>
      </c>
      <c r="AP4" s="9">
        <f t="shared" ref="AP4:AP6" si="3">SUM(AM4:AO4)</f>
        <v>66</v>
      </c>
    </row>
    <row r="5" spans="2:47" ht="24" customHeight="1">
      <c r="B5" s="101">
        <v>3</v>
      </c>
      <c r="C5" s="398" t="str">
        <f>IF(GROUPS!F11="","",GROUPS!F11)</f>
        <v>Максим Митревски (769)</v>
      </c>
      <c r="D5" s="399"/>
      <c r="E5" s="400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2</v>
      </c>
      <c r="M5" s="115">
        <f>U14</f>
        <v>3</v>
      </c>
      <c r="N5" s="108">
        <f>IF(AND(U9="",T14="",T18=""),"",SUM(F5,H5,L5))</f>
        <v>2</v>
      </c>
      <c r="O5" s="109">
        <f>IF(AND(U9="",T14="",T18=""),"",SUM(G5,I5,M5))</f>
        <v>9</v>
      </c>
      <c r="P5" s="110">
        <f>IF(AND(U9="",T14="",T18=""),"",AG5)</f>
        <v>76</v>
      </c>
      <c r="Q5" s="111">
        <f>IF(AND(U9="",T14="",T18=""),"",AP5)</f>
        <v>120</v>
      </c>
      <c r="R5" s="401">
        <f>IF(ISERROR(IF(AND(U9="",T14="",T18=""),"",SUM(AB5:AD5)+(N5-O5)/1000)+(AK5/10000)+(AG5/100000)),"",IF(AND(U9="",T14="",T18=""),"",SUM(AB5:AD5)+(N5-O5)/1000)+(AK5/10000)+(AG5/100000))</f>
        <v>2.98936</v>
      </c>
      <c r="S5" s="401"/>
      <c r="T5" s="112">
        <f>IF(ISERROR(IF(C5="","",RANK(R5,$R$3:$S$6,0))),"",IF(C5="","",RANK(R5,$R$3:$S$6,0)))</f>
        <v>4</v>
      </c>
      <c r="U5" s="9"/>
      <c r="V5" s="9"/>
      <c r="W5" s="7">
        <v>4</v>
      </c>
      <c r="X5" s="404" t="str">
        <f t="shared" si="0"/>
        <v>Максим Митревски (769)</v>
      </c>
      <c r="Y5" s="405"/>
      <c r="Z5" s="406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76</v>
      </c>
      <c r="AH5" s="10">
        <f>G9+I9+K9+M9+O9+Q9+S9</f>
        <v>9</v>
      </c>
      <c r="AI5" s="10">
        <f>F14+H14+J14+L14+N14+P14+R14</f>
        <v>53</v>
      </c>
      <c r="AJ5" s="10">
        <f>F18+H18+J18+L18+N18+P18+R18</f>
        <v>14</v>
      </c>
      <c r="AK5" s="402">
        <f t="shared" si="2"/>
        <v>-44</v>
      </c>
      <c r="AL5" s="403"/>
      <c r="AM5" s="10">
        <f>AH3</f>
        <v>33</v>
      </c>
      <c r="AN5" s="10">
        <f>AI6</f>
        <v>54</v>
      </c>
      <c r="AO5" s="10">
        <f>AJ4</f>
        <v>33</v>
      </c>
      <c r="AP5" s="9">
        <f t="shared" si="3"/>
        <v>120</v>
      </c>
    </row>
    <row r="6" spans="2:47" ht="24" customHeight="1" thickBot="1">
      <c r="B6" s="116">
        <v>4</v>
      </c>
      <c r="C6" s="407" t="str">
        <f>IF(GROUPS!F12="","",GROUPS!F12)</f>
        <v>Матеј Тачунски (724)</v>
      </c>
      <c r="D6" s="408"/>
      <c r="E6" s="409"/>
      <c r="F6" s="117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3</v>
      </c>
      <c r="K6" s="118">
        <f>T14</f>
        <v>2</v>
      </c>
      <c r="L6" s="120"/>
      <c r="M6" s="121"/>
      <c r="N6" s="122">
        <f>IF(AND(U10="",U14="",U17=""),"",SUM(F6,H6,J6))</f>
        <v>3</v>
      </c>
      <c r="O6" s="123">
        <f>IF(AND(U10="",U14="",U17=""),"",SUM(G6,I6,K6))</f>
        <v>8</v>
      </c>
      <c r="P6" s="124">
        <f>IF(AND(U10="",U14="",U17=""),"",AG6)</f>
        <v>73</v>
      </c>
      <c r="Q6" s="125">
        <f>IF(AND(U10="",U14="",U17=""),"",AP6)</f>
        <v>119</v>
      </c>
      <c r="R6" s="410">
        <f>IF(ISERROR(IF(AND(U10="",U14="",U17=""),"",SUM(AB6:AD6)+(N6-O6)/1000)+(AK6/10000)+(AG6/100000)),"",IF(AND(U10="",U14="",U17=""),"",SUM(AB6:AD6)+(N6-O6)/1000)+(AK6/10000)+(AG6/100000))</f>
        <v>3.9911300000000001</v>
      </c>
      <c r="S6" s="410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1</v>
      </c>
      <c r="AD6" s="10">
        <f>IF(J6="","",IF(J6&gt;K6,2,1))</f>
        <v>2</v>
      </c>
      <c r="AE6" s="182"/>
      <c r="AG6" s="11">
        <f t="shared" si="1"/>
        <v>73</v>
      </c>
      <c r="AH6" s="10">
        <f>G10+I10+K10+M10+O10+Q10+S10</f>
        <v>10</v>
      </c>
      <c r="AI6" s="10">
        <f>G14+I14+K14+M14+O14+Q14+S14</f>
        <v>54</v>
      </c>
      <c r="AJ6" s="10">
        <f>G17+I17+K17+M17+O17+Q17+S17</f>
        <v>9</v>
      </c>
      <c r="AK6" s="402">
        <f t="shared" si="2"/>
        <v>-46</v>
      </c>
      <c r="AL6" s="403"/>
      <c r="AM6" s="10">
        <f>AH4</f>
        <v>33</v>
      </c>
      <c r="AN6" s="10">
        <f>AI5</f>
        <v>53</v>
      </c>
      <c r="AO6" s="10">
        <f>AJ3</f>
        <v>33</v>
      </c>
      <c r="AP6" s="9">
        <f t="shared" si="3"/>
        <v>119</v>
      </c>
    </row>
    <row r="7" spans="2:47" ht="18.600000000000001" thickBot="1">
      <c r="P7" s="127">
        <f>SUM(P3:P6)</f>
        <v>352</v>
      </c>
      <c r="Q7" s="127">
        <f>SUM(Q3:Q6)</f>
        <v>352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Мартин Ристески (433)</v>
      </c>
      <c r="D9" s="130">
        <v>3</v>
      </c>
      <c r="E9" s="131" t="str">
        <f>IF(C5="","",VLOOKUP(D9,$B$3:$E$6,2,FALSE))</f>
        <v>Максим Митревски (769)</v>
      </c>
      <c r="F9" s="132">
        <v>11</v>
      </c>
      <c r="G9" s="133">
        <v>4</v>
      </c>
      <c r="H9" s="134">
        <v>11</v>
      </c>
      <c r="I9" s="133">
        <v>2</v>
      </c>
      <c r="J9" s="132">
        <v>11</v>
      </c>
      <c r="K9" s="135">
        <v>3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Кристијан Митев (420)</v>
      </c>
      <c r="D10" s="140">
        <v>4</v>
      </c>
      <c r="E10" s="141" t="str">
        <f>IF(C6="","",VLOOKUP(D10,$B$3:$E$6,2,FALSE))</f>
        <v>Матеј Тачунски (724)</v>
      </c>
      <c r="F10" s="142">
        <v>11</v>
      </c>
      <c r="G10" s="143">
        <v>2</v>
      </c>
      <c r="H10" s="144">
        <v>11</v>
      </c>
      <c r="I10" s="143">
        <v>2</v>
      </c>
      <c r="J10" s="142">
        <v>11</v>
      </c>
      <c r="K10" s="145">
        <v>6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Мартин Ристески (433)</v>
      </c>
      <c r="D13" s="130">
        <v>2</v>
      </c>
      <c r="E13" s="131" t="str">
        <f>IF(C4="","",VLOOKUP(D13,$B$3:$E$6,2,FALSE))</f>
        <v>Кристијан Митев (420)</v>
      </c>
      <c r="F13" s="132">
        <v>11</v>
      </c>
      <c r="G13" s="133">
        <v>8</v>
      </c>
      <c r="H13" s="134">
        <v>9</v>
      </c>
      <c r="I13" s="133">
        <v>11</v>
      </c>
      <c r="J13" s="132">
        <v>11</v>
      </c>
      <c r="K13" s="135">
        <v>9</v>
      </c>
      <c r="L13" s="134">
        <v>11</v>
      </c>
      <c r="M13" s="133">
        <v>1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Максим Митревски (769)</v>
      </c>
      <c r="D14" s="140">
        <v>4</v>
      </c>
      <c r="E14" s="141" t="str">
        <f>IF(C6="","",VLOOKUP(D14,$B$3:$E$6,2,FALSE))</f>
        <v>Матеј Тачунски (724)</v>
      </c>
      <c r="F14" s="142">
        <v>7</v>
      </c>
      <c r="G14" s="143">
        <v>11</v>
      </c>
      <c r="H14" s="144">
        <v>15</v>
      </c>
      <c r="I14" s="143">
        <v>17</v>
      </c>
      <c r="J14" s="142">
        <v>11</v>
      </c>
      <c r="K14" s="145">
        <v>7</v>
      </c>
      <c r="L14" s="144">
        <v>11</v>
      </c>
      <c r="M14" s="143">
        <v>8</v>
      </c>
      <c r="N14" s="142">
        <v>9</v>
      </c>
      <c r="O14" s="145">
        <v>11</v>
      </c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2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1</v>
      </c>
      <c r="AG14" s="10">
        <f>IF(K14="","",IF(K14&gt;J14,1,0))</f>
        <v>0</v>
      </c>
      <c r="AH14" s="10">
        <f>IF(L14="","",IF(L14&gt;M14,1,0))</f>
        <v>1</v>
      </c>
      <c r="AI14" s="10">
        <f>IF(M14="","",IF(M14&gt;L14,1,0))</f>
        <v>0</v>
      </c>
      <c r="AJ14" s="10">
        <f>IF(N14="","",IF(N14&gt;O14,1,0))</f>
        <v>0</v>
      </c>
      <c r="AK14" s="10">
        <f>IF(O14="","",IF(O14&gt;N14,1,0))</f>
        <v>1</v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Мартин Ристески (433)</v>
      </c>
      <c r="D17" s="130">
        <v>4</v>
      </c>
      <c r="E17" s="131" t="str">
        <f>IF(C6="","",VLOOKUP(D17,$B$3:$E$6,2,FALSE))</f>
        <v>Матеј Тачунски (724)</v>
      </c>
      <c r="F17" s="132">
        <v>11</v>
      </c>
      <c r="G17" s="133">
        <v>4</v>
      </c>
      <c r="H17" s="134">
        <v>11</v>
      </c>
      <c r="I17" s="133">
        <v>4</v>
      </c>
      <c r="J17" s="132">
        <v>11</v>
      </c>
      <c r="K17" s="135">
        <v>1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Максим Митревски (769)</v>
      </c>
      <c r="D18" s="140">
        <v>2</v>
      </c>
      <c r="E18" s="141" t="str">
        <f>IF(C4="","",VLOOKUP(D18,$B$3:$E$6,2,FALSE))</f>
        <v>Кристијан Митев (420)</v>
      </c>
      <c r="F18" s="142">
        <v>4</v>
      </c>
      <c r="G18" s="143">
        <v>11</v>
      </c>
      <c r="H18" s="144">
        <v>5</v>
      </c>
      <c r="I18" s="143">
        <v>11</v>
      </c>
      <c r="J18" s="142">
        <v>5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IF(GROUPS!H9="","",GROUPS!H9)</f>
        <v/>
      </c>
      <c r="D3" s="399"/>
      <c r="E3" s="400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8" t="str">
        <f>IF(GROUPS!H10="","",GROUPS!H10)</f>
        <v/>
      </c>
      <c r="D4" s="399"/>
      <c r="E4" s="400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8" t="str">
        <f>IF(GROUPS!H11="","",GROUPS!H11)</f>
        <v/>
      </c>
      <c r="D5" s="399"/>
      <c r="E5" s="400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7" t="str">
        <f>IF(GROUPS!H12="","",GROUPS!H12)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IF(GROUPS!J9="","",GROUPS!J9)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IF(GROUPS!J10="","",GROUPS!J10)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IF(GROUPS!J11="","",GROUPS!J11)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IF(GROUPS!J12="","",GROUPS!J12)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IF(GROUPS!D14="","",GROUPS!D14)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IF(GROUPS!D15="","",GROUPS!D15)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IF(GROUPS!D16="","",GROUPS!D16)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IF(GROUPS!D17="","",GROUPS!D17)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4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5" t="str">
        <f>IF(GROUPS!F14="","",GROUPS!F14)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IF(GROUPS!F15="","",GROUPS!F15)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IF(GROUPS!F16="","",GROUPS!F16)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IF(GROUPS!F17="","",GROUPS!F17)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IF(GROUPS!H14="","",GROUPS!H14)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IF(GROUPS!H15="","",GROUPS!H15)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IF(GROUPS!H16="","",GROUPS!H16)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IF(GROUPS!H17="","",GROUPS!H17)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IF(GROUPS!J14="","",GROUPS!J14)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IF(GROUPS!J15="","",GROUPS!J15)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IF(GROUPS!J16="","",GROUPS!J16)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IF(GROUPS!J17="","",GROUPS!J17)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4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5" t="str">
        <f>IF(GROUPS!D19="","",GROUPS!D19)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IF(GROUPS!D20="","",GROUPS!D20)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IF(GROUPS!D21="","",GROUPS!D21)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IF(GROUPS!D22="","",GROUPS!D22)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IF(GROUPS!F19="","",GROUPS!F19)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IF(GROUPS!F20="","",GROUPS!F20)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IF(GROUPS!F21="","",GROUPS!F21)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IF(GROUPS!F22="","",GROUPS!F22)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IF(GROUPS!H19="","",GROUPS!H19)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IF(GROUPS!H20="","",GROUPS!H20)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IF(GROUPS!H21="","",GROUPS!H21)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IF(GROUPS!H22="","",GROUPS!H22)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N10" sqref="N10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Лука Стојчев (73)</v>
      </c>
      <c r="E4" s="32">
        <f>C4+4</f>
        <v>5</v>
      </c>
      <c r="F4" s="33" t="str">
        <f>IF(VLOOKUP(E4,PARTICIPANTS!$C$3:$D$98,2,FALSE)="","",(VLOOKUP(E4,PARTICIPANTS!$C$3:$D$98,2,FALSE)))</f>
        <v>Александар Јакимовски (178)</v>
      </c>
      <c r="G4" s="32">
        <f>E4+4</f>
        <v>9</v>
      </c>
      <c r="H4" s="33" t="str">
        <f>IF(VLOOKUP(G4,PARTICIPANTS!$C$3:$D$98,2,FALSE)="","",(VLOOKUP(G4,PARTICIPANTS!$C$3:$D$98,2,FALSE)))</f>
        <v>Јаков Јакимовски (538)</v>
      </c>
      <c r="I4" s="32">
        <f>G4+4</f>
        <v>13</v>
      </c>
      <c r="J4" s="33" t="str">
        <f>IF(VLOOKUP(I4,PARTICIPANTS!$C$3:$D$98,2,FALSE)="","",(VLOOKUP(I4,PARTICIPANTS!$C$3:$D$98,2,FALSE)))</f>
        <v>Андреј Стојановски (47)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Јаков Кузмановски (443)</v>
      </c>
      <c r="E5" s="32">
        <f t="shared" ref="E5:I7" si="0">C5+4</f>
        <v>6</v>
      </c>
      <c r="F5" s="33" t="str">
        <f>IF(VLOOKUP(E5,PARTICIPANTS!$C$3:$D$98,2,FALSE)="","",(VLOOKUP(E5,PARTICIPANTS!$C$3:$D$98,2,FALSE)))</f>
        <v>Јован Пармачки (472)</v>
      </c>
      <c r="G5" s="32">
        <f t="shared" si="0"/>
        <v>10</v>
      </c>
      <c r="H5" s="33" t="str">
        <f>IF(VLOOKUP(G5,PARTICIPANTS!$C$3:$D$98,2,FALSE)="","",(VLOOKUP(G5,PARTICIPANTS!$C$3:$D$98,2,FALSE)))</f>
        <v>Дамјан Петровиќ (536)</v>
      </c>
      <c r="I5" s="32">
        <f t="shared" si="0"/>
        <v>14</v>
      </c>
      <c r="J5" s="33" t="str">
        <f>IF(VLOOKUP(I5,PARTICIPANTS!$C$3:$D$98,2,FALSE)="","",(VLOOKUP(I5,PARTICIPANTS!$C$3:$D$98,2,FALSE)))</f>
        <v>Кристијан Каламадевски (347)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Марко Цикарски (550)</v>
      </c>
      <c r="E6" s="32">
        <f t="shared" si="0"/>
        <v>7</v>
      </c>
      <c r="F6" s="33" t="str">
        <f>IF(VLOOKUP(E6,PARTICIPANTS!$C$3:$D$98,2,FALSE)="","",(VLOOKUP(E6,PARTICIPANTS!$C$3:$D$98,2,FALSE)))</f>
        <v>Андреј Бејковски (440)</v>
      </c>
      <c r="G6" s="32">
        <f t="shared" si="0"/>
        <v>11</v>
      </c>
      <c r="H6" s="33" t="str">
        <f>IF(VLOOKUP(G6,PARTICIPANTS!$C$3:$D$98,2,FALSE)="","",(VLOOKUP(G6,PARTICIPANTS!$C$3:$D$98,2,FALSE)))</f>
        <v>Филип Цековски (566)</v>
      </c>
      <c r="I6" s="32">
        <f t="shared" si="0"/>
        <v>15</v>
      </c>
      <c r="J6" s="33" t="str">
        <f>IF(VLOOKUP(I6,PARTICIPANTS!$C$3:$D$98,2,FALSE)="","",(VLOOKUP(I6,PARTICIPANTS!$C$3:$D$98,2,FALSE)))</f>
        <v>Павел Постоловски (706)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>Дарко Китановски (499)</v>
      </c>
      <c r="E9" s="32">
        <f>C9+4</f>
        <v>21</v>
      </c>
      <c r="F9" s="33" t="str">
        <f>IF(VLOOKUP(E9,PARTICIPANTS!$C$3:$D$98,2,FALSE)="","",(VLOOKUP(E9,PARTICIPANTS!$C$3:$D$98,2,FALSE)))</f>
        <v>Мартин Ристески (433)</v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>Давид Јоноски (287)</v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>Кристијан Митев (420)</v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>Димитар Парасков (560)</v>
      </c>
      <c r="E11" s="32">
        <f t="shared" si="1"/>
        <v>23</v>
      </c>
      <c r="F11" s="33" t="str">
        <f>IF(VLOOKUP(E11,PARTICIPANTS!$C$3:$D$98,2,FALSE)="","",(VLOOKUP(E11,PARTICIPANTS!$C$3:$D$98,2,FALSE)))</f>
        <v>Максим Митревски (769)</v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>Матеј Тачунски (724)</v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IF(GROUPS!J19="","",GROUPS!J19)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IF(GROUPS!J20="","",GROUPS!J20)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IF(GROUPS!J21="","",GROUPS!J21)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IF(GROUPS!J22="","",GROUPS!J22)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42" t="s">
        <v>61</v>
      </c>
      <c r="D1" s="443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Лука Стојчев (73)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Јаков Кузмановски (443)</v>
      </c>
    </row>
    <row r="5" spans="2:42" ht="15.6">
      <c r="B5" s="218" t="s">
        <v>27</v>
      </c>
      <c r="C5" s="210">
        <v>3</v>
      </c>
      <c r="D5" s="211" t="str">
        <f>IF(' II'!$X$2="","",' II'!$X$2)</f>
        <v>Александар Јакимовски (178)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Јован Пармачки (472)</v>
      </c>
    </row>
    <row r="7" spans="2:42" ht="15.6">
      <c r="B7" s="212" t="s">
        <v>29</v>
      </c>
      <c r="C7" s="213">
        <v>5</v>
      </c>
      <c r="D7" s="207" t="str">
        <f>IF(' III'!$X$2="","",' III'!$X$2)</f>
        <v>Јаков Јакимовски (538)</v>
      </c>
      <c r="F7" s="254">
        <v>1</v>
      </c>
      <c r="G7" s="96" t="str">
        <f>IF(F7="","",VLOOKUP(F7,$C$3:$D$8,2,FALSE))</f>
        <v>Лука Стојчев (73)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Дамјан Петровиќ (536)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Лука Стојчев (73)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44" t="str">
        <f>IF(AJ25="","",IF(AJ25&gt;AJ26,AB25,AB26))</f>
        <v/>
      </c>
    </row>
    <row r="16" spans="2:42" ht="15.6">
      <c r="C16" s="35"/>
      <c r="D16" s="2"/>
      <c r="P16" s="76"/>
      <c r="Y16" s="80"/>
      <c r="AM16" s="444" t="str">
        <f>IF(AJ25="","",IF(AJ25&lt;AJ26,AB25,AB26))</f>
        <v/>
      </c>
      <c r="AN16" s="444"/>
      <c r="AO16" s="445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44"/>
      <c r="AN17" s="444"/>
      <c r="AO17" s="445"/>
    </row>
    <row r="18" spans="3:42" ht="15.6">
      <c r="C18" s="35"/>
      <c r="D18" s="2"/>
      <c r="P18" s="76"/>
      <c r="Y18" s="80"/>
      <c r="AJ18" s="8"/>
      <c r="AM18" s="444"/>
      <c r="AO18" s="445"/>
    </row>
    <row r="19" spans="3:42" ht="16.2" thickBot="1">
      <c r="C19" s="35"/>
      <c r="D19" s="2"/>
      <c r="F19" s="254">
        <v>4</v>
      </c>
      <c r="G19" s="96" t="str">
        <f>IF(F19="","",VLOOKUP(F19,$C$3:$D$8,2,FALSE))</f>
        <v>Јован Пармачки (472)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46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Дамјан Петровиќ (536)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47" t="s">
        <v>58</v>
      </c>
      <c r="AO20" s="446"/>
    </row>
    <row r="21" spans="3:42" ht="16.2" thickBot="1">
      <c r="C21" s="35"/>
      <c r="D21" s="2"/>
      <c r="Y21" s="80"/>
      <c r="AM21" s="450" t="s">
        <v>59</v>
      </c>
      <c r="AN21" s="448"/>
      <c r="AO21" s="446"/>
    </row>
    <row r="22" spans="3:42" ht="15.6">
      <c r="C22" s="35"/>
      <c r="D22" s="2"/>
      <c r="Y22" s="80"/>
      <c r="AM22" s="451"/>
      <c r="AN22" s="448"/>
      <c r="AO22" s="453" t="s">
        <v>60</v>
      </c>
    </row>
    <row r="23" spans="3:42" ht="16.2" thickBot="1">
      <c r="C23" s="35"/>
      <c r="D23" s="2"/>
      <c r="Y23" s="80"/>
      <c r="AM23" s="452"/>
      <c r="AN23" s="449"/>
      <c r="AO23" s="454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56" t="s">
        <v>81</v>
      </c>
      <c r="AM27" s="457"/>
      <c r="AN27" s="457"/>
      <c r="AO27" s="457"/>
      <c r="AP27" s="458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59" t="str">
        <f>IF(AJ25="","",IF(AJ25&gt;AJ26,AB25,AB26))</f>
        <v/>
      </c>
      <c r="AO28" s="459"/>
      <c r="AP28" s="459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60" t="str">
        <f>IF(AJ25="","",IF(AJ25&lt;AJ26,AB25,AB26))</f>
        <v/>
      </c>
      <c r="AO29" s="460"/>
      <c r="AP29" s="460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61" t="str">
        <f>IF(AJ25=AJ26,"",IF(AJ34=AJ35,AB34,IF(AJ34&gt;AJ35,AB34,AB35)))</f>
        <v/>
      </c>
      <c r="AO30" s="461"/>
      <c r="AP30" s="461"/>
    </row>
    <row r="31" spans="3:42" ht="15.6">
      <c r="C31" s="35"/>
      <c r="D31" s="2"/>
      <c r="F31" s="254">
        <v>5</v>
      </c>
      <c r="G31" s="96" t="str">
        <f>IF(F31="","",VLOOKUP(F31,$C$3:$D$8,2,FALSE))</f>
        <v>Јаков Јакимовски (538)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61" t="str">
        <f>IF(AJ25=AJ26,"",IF(AJ34=AJ35,AB35,IF(AJ34&lt;AJ35,AB34,AB35)))</f>
        <v/>
      </c>
      <c r="AO31" s="461"/>
      <c r="AP31" s="461"/>
    </row>
    <row r="32" spans="3:42" ht="15.6">
      <c r="C32" s="35"/>
      <c r="D32" s="2"/>
      <c r="F32" s="254">
        <v>2</v>
      </c>
      <c r="G32" s="96" t="str">
        <f>IF(F32="","",VLOOKUP(F32,$C$3:$D$8,2,FALSE))</f>
        <v>Јаков Кузмановски (443)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62" t="str">
        <f>IF(O7="","",IF(O7&lt;O8,G7,G8))</f>
        <v/>
      </c>
      <c r="AO32" s="462"/>
      <c r="AP32" s="462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62" t="str">
        <f>IF(O19="","",IF(O19&lt;O20,G19,G20))</f>
        <v/>
      </c>
      <c r="AO33" s="462"/>
      <c r="AP33" s="462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62" t="str">
        <f>IF(O31="","",IF(O31&lt;O32,G31,G32))</f>
        <v/>
      </c>
      <c r="AO34" s="462"/>
      <c r="AP34" s="462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63" t="str">
        <f>IF(O43="","",IF(O43&lt;O44,G43,G44))</f>
        <v/>
      </c>
      <c r="AO35" s="463"/>
      <c r="AP35" s="463"/>
    </row>
    <row r="36" spans="3:42">
      <c r="P36" s="76"/>
      <c r="Y36" s="81"/>
      <c r="AL36" s="164"/>
      <c r="AM36" s="165"/>
      <c r="AN36" s="464"/>
      <c r="AO36" s="464"/>
      <c r="AP36" s="464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55"/>
      <c r="AO37" s="455"/>
      <c r="AP37" s="455"/>
    </row>
    <row r="38" spans="3:42">
      <c r="P38" s="82"/>
      <c r="Q38" s="95" t="str">
        <f>G44</f>
        <v>Александар Јакимовски (178)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55"/>
      <c r="AO38" s="455"/>
      <c r="AP38" s="455"/>
    </row>
    <row r="39" spans="3:42">
      <c r="P39" s="76"/>
      <c r="AL39" s="163"/>
      <c r="AM39" s="4"/>
      <c r="AN39" s="455"/>
      <c r="AO39" s="455"/>
      <c r="AP39" s="455"/>
    </row>
    <row r="40" spans="3:42">
      <c r="P40" s="76"/>
      <c r="AL40" s="163"/>
      <c r="AM40" s="4"/>
      <c r="AN40" s="455"/>
      <c r="AO40" s="455"/>
      <c r="AP40" s="455"/>
    </row>
    <row r="41" spans="3:42">
      <c r="O41" s="8"/>
      <c r="P41" s="76"/>
      <c r="AL41" s="163"/>
      <c r="AM41" s="4"/>
      <c r="AN41" s="455"/>
      <c r="AO41" s="455"/>
      <c r="AP41" s="455"/>
    </row>
    <row r="42" spans="3:42">
      <c r="O42" s="8"/>
      <c r="P42" s="76"/>
      <c r="AL42" s="163"/>
      <c r="AM42" s="4"/>
      <c r="AN42" s="455"/>
      <c r="AO42" s="455"/>
      <c r="AP42" s="455"/>
    </row>
    <row r="43" spans="3:42">
      <c r="O43" s="255"/>
      <c r="AL43" s="163"/>
      <c r="AM43" s="4"/>
      <c r="AN43" s="455"/>
      <c r="AO43" s="455"/>
      <c r="AP43" s="455"/>
    </row>
    <row r="44" spans="3:42">
      <c r="F44" s="254">
        <v>3</v>
      </c>
      <c r="G44" s="96" t="str">
        <f>IF(F44="","",VLOOKUP(F44,$C$3:$D$8,2,FALSE))</f>
        <v>Александар Јакимовски (178)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5"/>
      <c r="AO50" s="455"/>
      <c r="AP50" s="455"/>
    </row>
    <row r="51" spans="36:42">
      <c r="AM51" s="4"/>
      <c r="AN51" s="455"/>
      <c r="AO51" s="455"/>
      <c r="AP51" s="455"/>
    </row>
    <row r="52" spans="36:42">
      <c r="AM52" s="4"/>
      <c r="AN52" s="455"/>
      <c r="AO52" s="455"/>
      <c r="AP52" s="455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V52"/>
  <sheetViews>
    <sheetView workbookViewId="0">
      <selection activeCell="G39" sqref="G39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5" t="s">
        <v>61</v>
      </c>
      <c r="D1" s="443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Лука Стојчев (73)</v>
      </c>
    </row>
    <row r="4" spans="2:48" ht="16.2" thickBot="1">
      <c r="B4" s="48" t="s">
        <v>55</v>
      </c>
      <c r="C4" s="48">
        <v>2</v>
      </c>
      <c r="D4" s="24" t="str">
        <f>IF(' I'!$X$3="","",' I'!$X$3)</f>
        <v>Јаков Кузмановски (443)</v>
      </c>
    </row>
    <row r="5" spans="2:48" ht="15.6">
      <c r="B5" s="48" t="s">
        <v>27</v>
      </c>
      <c r="C5" s="48">
        <v>3</v>
      </c>
      <c r="D5" s="27" t="str">
        <f>IF(' II'!$X$2="","",' II'!$X$2)</f>
        <v>Александар Јакимовски (178)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Јован Пармачки (472)</v>
      </c>
    </row>
    <row r="7" spans="2:48" ht="15.6">
      <c r="B7" s="48" t="s">
        <v>29</v>
      </c>
      <c r="C7" s="48">
        <v>5</v>
      </c>
      <c r="D7" s="23" t="str">
        <f>IF(' III'!$X$2="","",' III'!$X$2)</f>
        <v>Јаков Јакимовски (538)</v>
      </c>
      <c r="F7">
        <v>1</v>
      </c>
      <c r="G7" s="312">
        <v>1</v>
      </c>
      <c r="H7" s="151" t="str">
        <f>IF(G7="","",VLOOKUP(G7,$C$3:$D$10,2,FALSE))</f>
        <v>Лука Стојчев (73)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Дамјан Петровиќ (536)</v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>Кристијан Каламадевски (347)</v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>Андреј Стојановски (47)</v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444" t="str">
        <f>IF(AK25="","",IF(AK25&gt;AK26,AC25,AC26))</f>
        <v/>
      </c>
    </row>
    <row r="16" spans="2:48" ht="15.6">
      <c r="B16" s="35"/>
      <c r="C16" s="35">
        <v>5</v>
      </c>
      <c r="D16" s="313" t="s">
        <v>583</v>
      </c>
      <c r="Q16" s="76"/>
      <c r="Z16" s="80"/>
      <c r="AN16" s="444" t="str">
        <f>IF(AK25="","",IF(AK25&lt;AK26,AC25,AC26))</f>
        <v/>
      </c>
      <c r="AO16" s="444"/>
      <c r="AP16" s="445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444"/>
      <c r="AO17" s="444"/>
      <c r="AP17" s="445"/>
    </row>
    <row r="18" spans="2:43" ht="15.6">
      <c r="B18" s="35"/>
      <c r="C18" s="35"/>
      <c r="D18" s="2"/>
      <c r="Q18" s="76"/>
      <c r="Z18" s="80"/>
      <c r="AK18" s="8"/>
      <c r="AN18" s="444"/>
      <c r="AP18" s="445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446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47" t="s">
        <v>58</v>
      </c>
      <c r="AP20" s="446"/>
    </row>
    <row r="21" spans="2:43" ht="16.2" customHeight="1" thickBot="1">
      <c r="C21" s="466" t="s">
        <v>585</v>
      </c>
      <c r="D21" s="466"/>
      <c r="Z21" s="80"/>
      <c r="AN21" s="450" t="s">
        <v>59</v>
      </c>
      <c r="AO21" s="448"/>
      <c r="AP21" s="446"/>
    </row>
    <row r="22" spans="2:43" ht="15.6" customHeight="1">
      <c r="C22" s="466"/>
      <c r="D22" s="466"/>
      <c r="Z22" s="80"/>
      <c r="AN22" s="451"/>
      <c r="AO22" s="448"/>
      <c r="AP22" s="453" t="s">
        <v>60</v>
      </c>
    </row>
    <row r="23" spans="2:43" ht="16.2" customHeight="1" thickBot="1">
      <c r="C23" s="466"/>
      <c r="D23" s="466"/>
      <c r="Z23" s="80"/>
      <c r="AN23" s="452"/>
      <c r="AO23" s="449"/>
      <c r="AP23" s="454"/>
    </row>
    <row r="24" spans="2:43" ht="15.6" customHeight="1">
      <c r="C24" s="466"/>
      <c r="D24" s="46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456" t="s">
        <v>81</v>
      </c>
      <c r="AN27" s="457"/>
      <c r="AO27" s="457"/>
      <c r="AP27" s="457"/>
      <c r="AQ27" s="458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459" t="str">
        <f>IF(AK25="","",IF(AK25&gt;AK26,AC25,AC26))</f>
        <v/>
      </c>
      <c r="AP28" s="459"/>
      <c r="AQ28" s="459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460" t="str">
        <f>IF(AK25="","",IF(AK25&lt;AK26,AC25,AC26))</f>
        <v/>
      </c>
      <c r="AP29" s="460"/>
      <c r="AQ29" s="460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461" t="str">
        <f>IF(AK25=AK26,"",IF(AK34=AK35,AC34,IF(AK34&gt;AK35,AC34,AC35)))</f>
        <v/>
      </c>
      <c r="AP30" s="461"/>
      <c r="AQ30" s="461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461" t="str">
        <f>IF(AK25=AK26,"",IF(AK34=AK35,AC35,IF(AK34&lt;AK35,AC34,AC35)))</f>
        <v/>
      </c>
      <c r="AP31" s="461"/>
      <c r="AQ31" s="461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462" t="str">
        <f>IF(P7="","",IF(P7&lt;P8,H7,H8))</f>
        <v/>
      </c>
      <c r="AP32" s="462"/>
      <c r="AQ32" s="462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462" t="str">
        <f>IF(P19="","",IF(P19&lt;P20,H19,H20))</f>
        <v/>
      </c>
      <c r="AP33" s="462"/>
      <c r="AQ33" s="462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462" t="str">
        <f>IF(P31="","",IF(P31&lt;P32,H31,H32))</f>
        <v/>
      </c>
      <c r="AP34" s="462"/>
      <c r="AQ34" s="462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462" t="str">
        <f>IF(P43="","",IF(P43&lt;P44,H43,H44))</f>
        <v/>
      </c>
      <c r="AP35" s="462"/>
      <c r="AQ35" s="462"/>
    </row>
    <row r="36" spans="3:43">
      <c r="Q36" s="76"/>
      <c r="Z36" s="81"/>
      <c r="AM36" s="163"/>
      <c r="AN36" s="4"/>
      <c r="AO36" s="455"/>
      <c r="AP36" s="455"/>
      <c r="AQ36" s="455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455"/>
      <c r="AP37" s="455"/>
      <c r="AQ37" s="455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455"/>
      <c r="AP38" s="455"/>
      <c r="AQ38" s="455"/>
    </row>
    <row r="39" spans="3:43">
      <c r="Q39" s="76"/>
      <c r="AM39" s="163"/>
      <c r="AN39" s="4"/>
      <c r="AO39" s="455"/>
      <c r="AP39" s="455"/>
      <c r="AQ39" s="455"/>
    </row>
    <row r="40" spans="3:43">
      <c r="Q40" s="76"/>
      <c r="AM40" s="163"/>
      <c r="AN40" s="4"/>
      <c r="AO40" s="455"/>
      <c r="AP40" s="455"/>
      <c r="AQ40" s="455"/>
    </row>
    <row r="41" spans="3:43">
      <c r="P41" s="8"/>
      <c r="Q41" s="76"/>
      <c r="AM41" s="163"/>
      <c r="AN41" s="4"/>
      <c r="AO41" s="455"/>
      <c r="AP41" s="455"/>
      <c r="AQ41" s="455"/>
    </row>
    <row r="42" spans="3:43">
      <c r="P42" s="8"/>
      <c r="Q42" s="76"/>
      <c r="AM42" s="163"/>
      <c r="AN42" s="4"/>
      <c r="AO42" s="455"/>
      <c r="AP42" s="455"/>
      <c r="AQ42" s="455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455"/>
      <c r="AP43" s="455"/>
      <c r="AQ43" s="455"/>
    </row>
    <row r="44" spans="3:43">
      <c r="F44">
        <v>8</v>
      </c>
      <c r="G44" s="312">
        <v>3</v>
      </c>
      <c r="H44" s="151" t="str">
        <f>IF(G44="","",VLOOKUP(G44,$C$3:$D$10,2,FALSE))</f>
        <v>Александар Јакимовски (178)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455"/>
      <c r="AP50" s="455"/>
      <c r="AQ50" s="455"/>
    </row>
    <row r="51" spans="37:43">
      <c r="AN51" s="4"/>
      <c r="AO51" s="455"/>
      <c r="AP51" s="455"/>
      <c r="AQ51" s="455"/>
    </row>
    <row r="52" spans="37:43">
      <c r="AN52" s="4"/>
      <c r="AO52" s="455"/>
      <c r="AP52" s="455"/>
      <c r="AQ52" s="455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abSelected="1" topLeftCell="I19" zoomScale="90" zoomScaleNormal="90" workbookViewId="0">
      <selection activeCell="AM31" sqref="AM31"/>
    </sheetView>
  </sheetViews>
  <sheetFormatPr defaultRowHeight="14.4"/>
  <cols>
    <col min="1" max="1" width="8.88671875" customWidth="1"/>
    <col min="2" max="2" width="11.5546875" customWidth="1"/>
    <col min="3" max="3" width="8.88671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2" width="3.33203125" style="2" customWidth="1"/>
    <col min="13" max="13" width="3.6640625" style="2" customWidth="1"/>
    <col min="14" max="16" width="3" style="2" customWidth="1"/>
    <col min="17" max="17" width="8.88671875" style="2" customWidth="1"/>
    <col min="18" max="18" width="31.44140625" style="2" customWidth="1"/>
    <col min="19" max="21" width="3.33203125" style="2" customWidth="1"/>
    <col min="22" max="22" width="3.6640625" style="2" customWidth="1"/>
    <col min="23" max="23" width="3.33203125" style="2" customWidth="1"/>
    <col min="24" max="26" width="3" style="2" customWidth="1"/>
    <col min="27" max="27" width="8.88671875" style="2" customWidth="1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customWidth="1"/>
    <col min="41" max="41" width="3.21875" style="2" customWidth="1"/>
    <col min="42" max="42" width="3.33203125" style="2" customWidth="1"/>
    <col min="43" max="47" width="3" style="2" customWidth="1"/>
    <col min="48" max="49" width="8.88671875" customWidth="1"/>
    <col min="50" max="52" width="31.44140625" customWidth="1"/>
    <col min="53" max="56" width="8.88671875" customWidth="1"/>
  </cols>
  <sheetData>
    <row r="1" spans="2:53" ht="28.8">
      <c r="C1" s="442" t="s">
        <v>61</v>
      </c>
      <c r="D1" s="443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Лука Стојчев (73)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Јаков Кузмановски (443)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Александар Јакимовски (178)</v>
      </c>
      <c r="F5" s="2">
        <v>1</v>
      </c>
      <c r="G5" s="155">
        <v>1</v>
      </c>
      <c r="H5" s="156" t="str">
        <f>IF(G5="","",VLOOKUP(G5,$C$3:$D$18,2,FALSE))</f>
        <v>Лука Стојчев (73)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Јован Пармачки (472)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Јаков Јакимовски (538)</v>
      </c>
      <c r="F7" s="2"/>
      <c r="G7" s="153"/>
      <c r="Q7" s="76"/>
      <c r="R7" s="96" t="str">
        <f>H5</f>
        <v>Лука Стојчев (73)</v>
      </c>
      <c r="S7" s="75">
        <v>11</v>
      </c>
      <c r="T7" s="75">
        <v>11</v>
      </c>
      <c r="U7" s="75">
        <v>12</v>
      </c>
      <c r="V7" s="75"/>
      <c r="W7" s="75"/>
      <c r="X7" s="75"/>
      <c r="Y7" s="75"/>
      <c r="Z7" s="17">
        <f>IF(S7="","",SUMPRODUCT(--(S7:Y7&gt;S8:Y8)))</f>
        <v>3</v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Дамјан Петровиќ (536)</v>
      </c>
      <c r="F8" s="2"/>
      <c r="G8" s="153"/>
      <c r="Q8" s="82"/>
      <c r="R8" s="96" t="str">
        <f>IF(P10="","",IF(P10&gt;P11,H10,H11))</f>
        <v>Јован Пармачки (472)</v>
      </c>
      <c r="S8" s="75">
        <v>9</v>
      </c>
      <c r="T8" s="75">
        <v>6</v>
      </c>
      <c r="U8" s="75">
        <v>10</v>
      </c>
      <c r="V8" s="75"/>
      <c r="W8" s="75"/>
      <c r="X8" s="75"/>
      <c r="Y8" s="75"/>
      <c r="Z8" s="17">
        <f>IF(S7="","",SUMPRODUCT(--(S7:Y7&lt;S8:Y8)))</f>
        <v>0</v>
      </c>
    </row>
    <row r="9" spans="2:53" ht="15.6">
      <c r="B9" s="218" t="s">
        <v>30</v>
      </c>
      <c r="C9" s="210">
        <v>7</v>
      </c>
      <c r="D9" s="211" t="str">
        <f>IF(IV!$X$2="","",IV!$X$2)</f>
        <v>Кристијан Каламадевски (347)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Андреј Стојановски (47)</v>
      </c>
      <c r="F10" s="2">
        <v>2</v>
      </c>
      <c r="G10" s="152">
        <v>4</v>
      </c>
      <c r="H10" s="151" t="str">
        <f>IF(G10="","",VLOOKUP(G10,$C$3:$D$18,2,FALSE))</f>
        <v>Јован Пармачки (472)</v>
      </c>
      <c r="I10" s="75">
        <v>11</v>
      </c>
      <c r="J10" s="75">
        <v>11</v>
      </c>
      <c r="K10" s="75">
        <v>11</v>
      </c>
      <c r="L10" s="75"/>
      <c r="M10" s="75"/>
      <c r="N10" s="75"/>
      <c r="O10" s="75"/>
      <c r="P10" s="17">
        <f>IF(I10="","",SUMPRODUCT(--(I10:O10&gt;I11:O11)))</f>
        <v>3</v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>Дарко Китановски (499)</v>
      </c>
      <c r="F11" s="2">
        <v>3</v>
      </c>
      <c r="G11" s="154">
        <v>6</v>
      </c>
      <c r="H11" s="151" t="str">
        <f>IF(G11="","",VLOOKUP(G11,$C$3:$D$18,2,FALSE))</f>
        <v>Дамјан Петровиќ (536)</v>
      </c>
      <c r="I11" s="75">
        <v>5</v>
      </c>
      <c r="J11" s="75">
        <v>4</v>
      </c>
      <c r="K11" s="75">
        <v>8</v>
      </c>
      <c r="L11" s="75"/>
      <c r="M11" s="75"/>
      <c r="N11" s="75"/>
      <c r="O11" s="75"/>
      <c r="P11" s="17">
        <f>IF(I10="","",SUMPRODUCT(--(I10:O10&lt;I11:O11)))</f>
        <v>0</v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>Димитар Парасков (560)</v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>Мартин Ристески (433)</v>
      </c>
      <c r="F13" s="2"/>
      <c r="G13" s="153"/>
      <c r="P13" s="8"/>
      <c r="AA13" s="76"/>
      <c r="AB13" s="95" t="str">
        <f>IF(Z7="","",IF(Z7&gt;Z8,R7,R8))</f>
        <v>Лука Стојчев (73)</v>
      </c>
      <c r="AC13" s="75">
        <v>11</v>
      </c>
      <c r="AD13" s="75">
        <v>11</v>
      </c>
      <c r="AE13" s="75">
        <v>11</v>
      </c>
      <c r="AF13" s="75"/>
      <c r="AG13" s="75"/>
      <c r="AH13" s="75"/>
      <c r="AI13" s="75"/>
      <c r="AJ13" s="17">
        <f>IF(AC13="","",SUMPRODUCT(--(AC13:AI13&gt;AC14:AI14)))</f>
        <v>3</v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>Кристијан Митев (420)</v>
      </c>
      <c r="F14" s="2"/>
      <c r="G14" s="153"/>
      <c r="P14" s="8"/>
      <c r="AA14" s="82"/>
      <c r="AB14" s="95" t="str">
        <f>IF(Z19="","",IF(Z19&gt;Z20,R19,R20))</f>
        <v>Дарко Китановски (499)</v>
      </c>
      <c r="AC14" s="75">
        <v>7</v>
      </c>
      <c r="AD14" s="75">
        <v>4</v>
      </c>
      <c r="AE14" s="75">
        <v>6</v>
      </c>
      <c r="AF14" s="75"/>
      <c r="AG14" s="75"/>
      <c r="AH14" s="75"/>
      <c r="AI14" s="75"/>
      <c r="AJ14" s="17">
        <f>IF(AC13="","",SUMPRODUCT(--(AC13:AI13&lt;AC14:AI14)))</f>
        <v>0</v>
      </c>
      <c r="AK14" s="11"/>
    </row>
    <row r="15" spans="2:53" ht="15.6">
      <c r="C15" s="35"/>
      <c r="D15" s="2"/>
      <c r="F15" s="2"/>
      <c r="G15" s="153"/>
      <c r="AA15" s="76"/>
      <c r="AJ15" s="79"/>
      <c r="AY15" s="444" t="str">
        <f>IF(AU25="","",IF(AU25&gt;AU26,AM25,AM26))</f>
        <v>Александар Јакимовски (178)</v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44" t="str">
        <f>IF(AU25="","",IF(AU25&lt;AU26,AM25,AM26))</f>
        <v>Лука Стојчев (73)</v>
      </c>
      <c r="AY16" s="444"/>
      <c r="AZ16" s="445" t="str">
        <f>IF(AU25=AU26,"",IF(AU34=AU35,AM34,IF(AU34&gt;AU35,AM34,AM35)))</f>
        <v>Дарко Китановски (499)</v>
      </c>
    </row>
    <row r="17" spans="3:53" ht="15.6">
      <c r="C17" s="35"/>
      <c r="D17" s="2"/>
      <c r="F17" s="2">
        <v>4</v>
      </c>
      <c r="G17" s="155">
        <v>12</v>
      </c>
      <c r="H17" s="156" t="str">
        <f>IF(G17="","",VLOOKUP(G17,$C$3:$D$18,2,FALSE))</f>
        <v>Кристијан Митев (420)</v>
      </c>
      <c r="I17" s="157">
        <v>11</v>
      </c>
      <c r="J17" s="157">
        <v>6</v>
      </c>
      <c r="K17" s="157">
        <v>8</v>
      </c>
      <c r="L17" s="157">
        <v>11</v>
      </c>
      <c r="M17" s="157">
        <v>10</v>
      </c>
      <c r="N17" s="157"/>
      <c r="O17" s="157"/>
      <c r="P17" s="158" cm="1">
        <f t="array" ref="P17">IF(I17="","",SUMPRODUCT(--(I17:O17&gt;I18:O18)))</f>
        <v>2</v>
      </c>
      <c r="AA17" s="76"/>
      <c r="AJ17" s="80"/>
      <c r="AU17" s="8"/>
      <c r="AX17" s="444"/>
      <c r="AY17" s="444"/>
      <c r="AZ17" s="445"/>
    </row>
    <row r="18" spans="3:53" ht="15.6">
      <c r="C18" s="35"/>
      <c r="D18" s="2"/>
      <c r="E18" s="2" t="s">
        <v>909</v>
      </c>
      <c r="F18" s="2">
        <v>5</v>
      </c>
      <c r="G18" s="152">
        <v>9</v>
      </c>
      <c r="H18" s="151" t="str">
        <f>IF(G18="","",VLOOKUP(G18,$C$3:$D$18,2,FALSE))</f>
        <v>Дарко Китановски (499)</v>
      </c>
      <c r="I18" s="75">
        <v>7</v>
      </c>
      <c r="J18" s="75">
        <v>11</v>
      </c>
      <c r="K18" s="75">
        <v>11</v>
      </c>
      <c r="L18" s="75">
        <v>8</v>
      </c>
      <c r="M18" s="75">
        <v>12</v>
      </c>
      <c r="N18" s="75"/>
      <c r="O18" s="75"/>
      <c r="P18" s="17" cm="1">
        <f t="array" ref="P18">IF(I17="","",SUMPRODUCT(--(I17:O17&lt;I18:O18)))</f>
        <v>3</v>
      </c>
      <c r="Q18" s="76"/>
      <c r="AA18" s="76"/>
      <c r="AJ18" s="80"/>
      <c r="AU18" s="8"/>
      <c r="AX18" s="444"/>
      <c r="AZ18" s="445"/>
    </row>
    <row r="19" spans="3:53" ht="15.6" customHeight="1" thickBot="1">
      <c r="C19" s="35"/>
      <c r="D19" s="2"/>
      <c r="F19" s="2"/>
      <c r="G19" s="153"/>
      <c r="Q19" s="76"/>
      <c r="R19" s="96" t="str">
        <f>IF(P17="","",IF(P17&gt;P18,H17,H18))</f>
        <v>Дарко Китановски (499)</v>
      </c>
      <c r="S19" s="75">
        <v>11</v>
      </c>
      <c r="T19" s="75">
        <v>11</v>
      </c>
      <c r="U19" s="75">
        <v>7</v>
      </c>
      <c r="V19" s="75">
        <v>8</v>
      </c>
      <c r="W19" s="75">
        <v>11</v>
      </c>
      <c r="X19" s="75"/>
      <c r="Y19" s="75"/>
      <c r="Z19" s="17">
        <f>IF(S19="","",SUMPRODUCT(--(S19:Y19&gt;S20:Y20)))</f>
        <v>3</v>
      </c>
      <c r="AJ19" s="80"/>
      <c r="AZ19" s="446" t="str">
        <f>IF(AU25=AU26,"",IF(OR(AU34&gt;AU35,AU34&lt;AU35),"",AM35))</f>
        <v>Мартин Ристески (433)</v>
      </c>
    </row>
    <row r="20" spans="3:53" ht="16.2" thickBot="1">
      <c r="C20" s="35"/>
      <c r="D20" s="2"/>
      <c r="F20" s="2"/>
      <c r="G20" s="153"/>
      <c r="Q20" s="82"/>
      <c r="R20" s="96" t="str">
        <f>H23</f>
        <v>Кристијан Каламадевски (347)</v>
      </c>
      <c r="S20" s="75">
        <v>8</v>
      </c>
      <c r="T20" s="75">
        <v>9</v>
      </c>
      <c r="U20" s="75">
        <v>11</v>
      </c>
      <c r="V20" s="75">
        <v>11</v>
      </c>
      <c r="W20" s="75">
        <v>5</v>
      </c>
      <c r="X20" s="75"/>
      <c r="Y20" s="75"/>
      <c r="Z20" s="17">
        <f>IF(S19="","",SUMPRODUCT(--(S19:Y19&lt;S20:Y20)))</f>
        <v>2</v>
      </c>
      <c r="AJ20" s="80"/>
      <c r="AY20" s="467" t="s">
        <v>58</v>
      </c>
      <c r="AZ20" s="446"/>
    </row>
    <row r="21" spans="3:53" ht="16.2" thickBot="1">
      <c r="C21" s="35"/>
      <c r="D21" s="2"/>
      <c r="F21" s="2"/>
      <c r="G21" s="153"/>
      <c r="P21" s="8"/>
      <c r="Q21" s="76"/>
      <c r="AJ21" s="80"/>
      <c r="AX21" s="470" t="s">
        <v>59</v>
      </c>
      <c r="AY21" s="468"/>
      <c r="AZ21" s="446"/>
    </row>
    <row r="22" spans="3:53" ht="15.6">
      <c r="C22" s="35"/>
      <c r="D22" s="2"/>
      <c r="F22" s="2"/>
      <c r="G22" s="35"/>
      <c r="P22" s="11"/>
      <c r="AJ22" s="80"/>
      <c r="AX22" s="471"/>
      <c r="AY22" s="468"/>
      <c r="AZ22" s="473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>
        <v>7</v>
      </c>
      <c r="H23" s="151" t="str">
        <f>IF(G23="","",VLOOKUP(G23,$C$3:$D$18,2,FALSE))</f>
        <v>Кристијан Каламадевски (347)</v>
      </c>
      <c r="I23" s="75"/>
      <c r="J23" s="75"/>
      <c r="K23" s="75"/>
      <c r="L23" s="75"/>
      <c r="M23" s="75"/>
      <c r="N23" s="75"/>
      <c r="O23" s="75"/>
      <c r="P23" s="17"/>
      <c r="AJ23" s="80"/>
      <c r="AX23" s="472"/>
      <c r="AY23" s="469"/>
      <c r="AZ23" s="474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>Лука Стојчев (73)</v>
      </c>
      <c r="AN25" s="75">
        <v>7</v>
      </c>
      <c r="AO25" s="75">
        <v>6</v>
      </c>
      <c r="AP25" s="75">
        <v>9</v>
      </c>
      <c r="AQ25" s="75"/>
      <c r="AR25" s="75"/>
      <c r="AS25" s="75"/>
      <c r="AT25" s="75"/>
      <c r="AU25" s="17">
        <f>IF(AN25="","",SUMPRODUCT(--(AN25:AT25&gt;AN26:AT26)))</f>
        <v>0</v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>Александар Јакимовски (178)</v>
      </c>
      <c r="AN26" s="75">
        <v>11</v>
      </c>
      <c r="AO26" s="75">
        <v>11</v>
      </c>
      <c r="AP26" s="75">
        <v>11</v>
      </c>
      <c r="AQ26" s="75"/>
      <c r="AR26" s="75"/>
      <c r="AS26" s="75"/>
      <c r="AT26" s="75"/>
      <c r="AU26" s="17">
        <f>IF(AN25="","",SUMPRODUCT(--(AN25:AT25&lt;AN26:AT26)))</f>
        <v>3</v>
      </c>
    </row>
    <row r="27" spans="3:53" ht="15.6">
      <c r="C27" s="35"/>
      <c r="D27" s="2"/>
      <c r="F27" s="2"/>
      <c r="G27" s="35"/>
      <c r="AJ27" s="80"/>
      <c r="AL27" s="38"/>
      <c r="AW27" s="456" t="s">
        <v>81</v>
      </c>
      <c r="AX27" s="457"/>
      <c r="AY27" s="457"/>
      <c r="AZ27" s="457"/>
      <c r="BA27" s="458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5" t="str">
        <f>IF(AU25="","",IF(AU25&gt;AU26,AM25,AM26))</f>
        <v>Александар Јакимовски (178)</v>
      </c>
      <c r="AZ28" s="475"/>
      <c r="BA28" s="475"/>
    </row>
    <row r="29" spans="3:53" ht="15.6">
      <c r="C29" s="35"/>
      <c r="D29" s="2"/>
      <c r="E29" t="s">
        <v>681</v>
      </c>
      <c r="F29" s="2">
        <v>7</v>
      </c>
      <c r="G29" s="155">
        <v>5</v>
      </c>
      <c r="H29" s="156" t="str">
        <f>IF(G29="","",VLOOKUP(G29,$C$3:$D$18,2,FALSE))</f>
        <v>Јаков Јакимовски (538)</v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0" t="str">
        <f>IF(AU25="","",IF(AU25&lt;AU26,AM25,AM26))</f>
        <v>Лука Стојчев (73)</v>
      </c>
      <c r="AZ29" s="460"/>
      <c r="BA29" s="460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1" t="str">
        <f>IF(AU25=AU26,"",IF(AU34=AU35,AM34,IF(AU34&gt;AU35,AM34,AM35)))</f>
        <v>Дарко Китановски (499)</v>
      </c>
      <c r="AZ30" s="461"/>
      <c r="BA30" s="461"/>
    </row>
    <row r="31" spans="3:53" ht="15.6">
      <c r="C31" s="35"/>
      <c r="D31" s="2"/>
      <c r="G31" s="153"/>
      <c r="Q31" s="76"/>
      <c r="R31" s="96" t="str">
        <f>H29</f>
        <v>Јаков Јакимовски (538)</v>
      </c>
      <c r="S31" s="75">
        <v>11</v>
      </c>
      <c r="T31" s="75">
        <v>7</v>
      </c>
      <c r="U31" s="75">
        <v>11</v>
      </c>
      <c r="V31" s="75">
        <v>10</v>
      </c>
      <c r="W31" s="75">
        <v>9</v>
      </c>
      <c r="X31" s="75"/>
      <c r="Y31" s="75"/>
      <c r="Z31" s="17">
        <f>IF(S31="","",SUMPRODUCT(--(S31:Y31&gt;S32:Y32)))</f>
        <v>2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1" t="str">
        <f>IF(AU25=AU26,"",IF(AU34=AU35,AM35,IF(AU34&lt;AU35,AM34,AM35)))</f>
        <v>Мартин Ристески (433)</v>
      </c>
      <c r="AZ31" s="461"/>
      <c r="BA31" s="461"/>
    </row>
    <row r="32" spans="3:53" ht="15.6">
      <c r="C32" s="35"/>
      <c r="D32" s="2"/>
      <c r="G32" s="153"/>
      <c r="Q32" s="82"/>
      <c r="R32" s="96" t="str">
        <f>IF(P34="","",IF(P34&gt;P35,H34,H35))</f>
        <v>Мартин Ристески (433)</v>
      </c>
      <c r="S32" s="75">
        <v>7</v>
      </c>
      <c r="T32" s="75">
        <v>11</v>
      </c>
      <c r="U32" s="75">
        <v>4</v>
      </c>
      <c r="V32" s="75">
        <v>12</v>
      </c>
      <c r="W32" s="75">
        <v>11</v>
      </c>
      <c r="X32" s="75"/>
      <c r="Y32" s="75"/>
      <c r="Z32" s="17">
        <f>IF(S31="","",SUMPRODUCT(--(S31:Y31&lt;S32:Y32)))</f>
        <v>3</v>
      </c>
      <c r="AJ32" s="80"/>
      <c r="AL32" s="38"/>
      <c r="AW32" s="87">
        <v>5</v>
      </c>
      <c r="AX32" s="88" t="s">
        <v>80</v>
      </c>
      <c r="AY32" s="462" t="str">
        <f>IF(Z7="","",IF(Z7&lt;Z8,R7,R8))</f>
        <v>Јован Пармачки (472)</v>
      </c>
      <c r="AZ32" s="462"/>
      <c r="BA32" s="462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2" t="str">
        <f>IF(Z19="","",IF(Z19&lt;Z20,R19,R20))</f>
        <v>Кристијан Каламадевски (347)</v>
      </c>
      <c r="AZ33" s="462"/>
      <c r="BA33" s="462"/>
    </row>
    <row r="34" spans="3:53" ht="15.6">
      <c r="C34" s="35"/>
      <c r="D34" s="2"/>
      <c r="E34" s="2" t="s">
        <v>909</v>
      </c>
      <c r="F34" s="2">
        <v>8</v>
      </c>
      <c r="G34" s="152">
        <v>11</v>
      </c>
      <c r="H34" s="151" t="str">
        <f>IF(G34="","",VLOOKUP(G34,$C$3:$D$18,2,FALSE))</f>
        <v>Мартин Ристески (433)</v>
      </c>
      <c r="I34" s="75">
        <v>11</v>
      </c>
      <c r="J34" s="75">
        <v>11</v>
      </c>
      <c r="K34" s="75">
        <v>11</v>
      </c>
      <c r="L34" s="75"/>
      <c r="M34" s="75"/>
      <c r="N34" s="75"/>
      <c r="O34" s="75"/>
      <c r="P34" s="17">
        <f>IF(I34="","",SUMPRODUCT(--(I34:O34&gt;I35:O35)))</f>
        <v>3</v>
      </c>
      <c r="AA34" s="76"/>
      <c r="AJ34" s="80"/>
      <c r="AL34" s="62"/>
      <c r="AM34" s="98" t="str">
        <f>IF(AJ13="","",IF(AJ13&lt;AJ14,AB13,AB14))</f>
        <v>Дарко Китановски (499)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2" t="str">
        <f>IF(Z31="","",IF(Z31&lt;Z32,R31,R32))</f>
        <v>Јаков Јакимовски (538)</v>
      </c>
      <c r="AZ34" s="462"/>
      <c r="BA34" s="462"/>
    </row>
    <row r="35" spans="3:53">
      <c r="F35" s="2">
        <v>9</v>
      </c>
      <c r="G35" s="154">
        <v>10</v>
      </c>
      <c r="H35" s="151" t="str">
        <f>IF(G35="","",VLOOKUP(G35,$C$3:$D$18,2,FALSE))</f>
        <v>Димитар Парасков (560)</v>
      </c>
      <c r="I35" s="75">
        <v>6</v>
      </c>
      <c r="J35" s="75">
        <v>3</v>
      </c>
      <c r="K35" s="75">
        <v>9</v>
      </c>
      <c r="L35" s="75"/>
      <c r="M35" s="75"/>
      <c r="N35" s="75"/>
      <c r="O35" s="75"/>
      <c r="P35" s="17">
        <f>IF(I34="","",SUMPRODUCT(--(I34:O34&lt;I35:O35)))</f>
        <v>0</v>
      </c>
      <c r="AA35" s="76"/>
      <c r="AJ35" s="80"/>
      <c r="AM35" s="98" t="str">
        <f>IF(AJ37="","",IF(AJ37&lt;AJ38,AB37,AB38))</f>
        <v>Мартин Ристески (433)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63" t="str">
        <f>IF(Z43="","",IF(Z43&lt;Z44,R43,R44))</f>
        <v>Андреј Стојановски (47)</v>
      </c>
      <c r="AZ35" s="463"/>
      <c r="BA35" s="463"/>
    </row>
    <row r="36" spans="3:53">
      <c r="F36" s="2"/>
      <c r="G36" s="153"/>
      <c r="AA36" s="76"/>
      <c r="AJ36" s="81"/>
      <c r="AW36" s="164"/>
      <c r="AX36" s="165"/>
      <c r="AY36" s="464"/>
      <c r="AZ36" s="464"/>
      <c r="BA36" s="464"/>
    </row>
    <row r="37" spans="3:53">
      <c r="F37" s="2"/>
      <c r="G37" s="153"/>
      <c r="P37" s="8"/>
      <c r="AA37" s="76"/>
      <c r="AB37" s="95" t="str">
        <f>IF(Z31="","",IF(Z31&gt;Z32,R31,R32))</f>
        <v>Мартин Ристески (433)</v>
      </c>
      <c r="AC37" s="75">
        <v>1</v>
      </c>
      <c r="AD37" s="75">
        <v>8</v>
      </c>
      <c r="AE37" s="75">
        <v>4</v>
      </c>
      <c r="AF37" s="75"/>
      <c r="AG37" s="75"/>
      <c r="AH37" s="75"/>
      <c r="AI37" s="75"/>
      <c r="AJ37" s="17">
        <f>IF(AC37="","",SUMPRODUCT(--(AC37:AI37&gt;AC38:AI38)))</f>
        <v>0</v>
      </c>
      <c r="AK37" s="11"/>
      <c r="AW37" s="163"/>
      <c r="AX37" s="4"/>
      <c r="AY37" s="455"/>
      <c r="AZ37" s="455"/>
      <c r="BA37" s="455"/>
    </row>
    <row r="38" spans="3:53">
      <c r="F38" s="2"/>
      <c r="G38" s="153"/>
      <c r="P38" s="8"/>
      <c r="AA38" s="82"/>
      <c r="AB38" s="95" t="str">
        <f>IF(Z43="","",IF(Z43&gt;Z44,R43,R44))</f>
        <v>Александар Јакимовски (178)</v>
      </c>
      <c r="AC38" s="75">
        <v>11</v>
      </c>
      <c r="AD38" s="75">
        <v>11</v>
      </c>
      <c r="AE38" s="75">
        <v>11</v>
      </c>
      <c r="AF38" s="75"/>
      <c r="AG38" s="75"/>
      <c r="AH38" s="75"/>
      <c r="AI38" s="75"/>
      <c r="AJ38" s="17">
        <f>IF(AC37="","",SUMPRODUCT(--(AC37:AI37&lt;AC38:AI38)))</f>
        <v>3</v>
      </c>
      <c r="AK38" s="11"/>
      <c r="AW38" s="163"/>
      <c r="AX38" s="4"/>
      <c r="AY38" s="455"/>
      <c r="AZ38" s="455"/>
      <c r="BA38" s="455"/>
    </row>
    <row r="39" spans="3:53">
      <c r="F39" s="2"/>
      <c r="G39" s="153"/>
      <c r="AA39" s="76"/>
      <c r="AW39" s="163"/>
      <c r="AX39" s="4"/>
      <c r="AY39" s="455"/>
      <c r="AZ39" s="455"/>
      <c r="BA39" s="455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55"/>
      <c r="AZ40" s="455"/>
      <c r="BA40" s="455"/>
    </row>
    <row r="41" spans="3:53">
      <c r="F41" s="2">
        <v>10</v>
      </c>
      <c r="G41" s="155">
        <v>2</v>
      </c>
      <c r="H41" s="156" t="str">
        <f>IF(G41="","",VLOOKUP(G41,$C$3:$D$18,2,FALSE))</f>
        <v>Јаков Кузмановски (443)</v>
      </c>
      <c r="I41" s="157">
        <v>5</v>
      </c>
      <c r="J41" s="157">
        <v>6</v>
      </c>
      <c r="K41" s="157">
        <v>11</v>
      </c>
      <c r="L41" s="157">
        <v>7</v>
      </c>
      <c r="M41" s="157"/>
      <c r="N41" s="157"/>
      <c r="O41" s="157"/>
      <c r="P41" s="158" cm="1">
        <f t="array" ref="P41">IF(I41="","",SUMPRODUCT(--(I41:O41&gt;I42:O42)))</f>
        <v>1</v>
      </c>
      <c r="Z41" s="8"/>
      <c r="AA41" s="76"/>
      <c r="AW41" s="163"/>
      <c r="AX41" s="4"/>
      <c r="AY41" s="455"/>
      <c r="AZ41" s="455"/>
      <c r="BA41" s="455"/>
    </row>
    <row r="42" spans="3:53" ht="15.6">
      <c r="F42" s="2">
        <v>11</v>
      </c>
      <c r="G42" s="152">
        <v>8</v>
      </c>
      <c r="H42" s="151" t="str">
        <f>IF(G42="","",VLOOKUP(G42,$C$3:$D$18,2,FALSE))</f>
        <v>Андреј Стојановски (47)</v>
      </c>
      <c r="I42" s="75">
        <v>11</v>
      </c>
      <c r="J42" s="75">
        <v>11</v>
      </c>
      <c r="K42" s="75">
        <v>8</v>
      </c>
      <c r="L42" s="75">
        <v>11</v>
      </c>
      <c r="M42" s="75"/>
      <c r="N42" s="75"/>
      <c r="O42" s="75"/>
      <c r="P42" s="17" cm="1">
        <f t="array" ref="P42">IF(I41="","",SUMPRODUCT(--(I41:O41&lt;I42:O42)))</f>
        <v>3</v>
      </c>
      <c r="Q42" s="76"/>
      <c r="Z42" s="8"/>
      <c r="AA42" s="76"/>
      <c r="AW42" s="163"/>
      <c r="AX42" s="4"/>
      <c r="AY42" s="455"/>
      <c r="AZ42" s="455"/>
      <c r="BA42" s="455"/>
    </row>
    <row r="43" spans="3:53">
      <c r="F43" s="2"/>
      <c r="G43" s="153"/>
      <c r="Q43" s="76"/>
      <c r="R43" s="96" t="str">
        <f>IF(P41="","",IF(P41&gt;P42,H41,H42))</f>
        <v>Андреј Стојановски (47)</v>
      </c>
      <c r="S43" s="75">
        <v>11</v>
      </c>
      <c r="T43" s="75">
        <v>6</v>
      </c>
      <c r="U43" s="75">
        <v>6</v>
      </c>
      <c r="V43" s="75">
        <v>3</v>
      </c>
      <c r="W43" s="75"/>
      <c r="X43" s="75"/>
      <c r="Y43" s="75"/>
      <c r="Z43" s="17">
        <f>IF(S43="","",SUMPRODUCT(--(S43:Y43&gt;S44:Y44)))</f>
        <v>1</v>
      </c>
      <c r="AW43" s="163"/>
      <c r="AX43" s="4"/>
      <c r="AY43" s="455"/>
      <c r="AZ43" s="455"/>
      <c r="BA43" s="455"/>
    </row>
    <row r="44" spans="3:53">
      <c r="F44" s="2"/>
      <c r="G44" s="153"/>
      <c r="Q44" s="82"/>
      <c r="R44" s="96" t="str">
        <f>H47</f>
        <v>Александар Јакимовски (178)</v>
      </c>
      <c r="S44" s="75">
        <v>8</v>
      </c>
      <c r="T44" s="75">
        <v>11</v>
      </c>
      <c r="U44" s="75">
        <v>11</v>
      </c>
      <c r="V44" s="75">
        <v>11</v>
      </c>
      <c r="W44" s="75"/>
      <c r="X44" s="75"/>
      <c r="Y44" s="75"/>
      <c r="Z44" s="17">
        <f>IF(S43="","",SUMPRODUCT(--(S43:Y43&lt;S44:Y44)))</f>
        <v>3</v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Александар Јакимовски (178)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5"/>
      <c r="AZ50" s="455"/>
      <c r="BA50" s="455"/>
    </row>
    <row r="51" spans="47:53">
      <c r="AX51" s="4"/>
      <c r="AY51" s="455"/>
      <c r="AZ51" s="455"/>
      <c r="BA51" s="455"/>
    </row>
    <row r="52" spans="47:53">
      <c r="AX52" s="4"/>
      <c r="AY52" s="455"/>
      <c r="AZ52" s="455"/>
      <c r="BA52" s="455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443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Лука Стојчев (73)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Јаков Кузмановски (443)</v>
      </c>
      <c r="E4">
        <v>1</v>
      </c>
      <c r="F4">
        <v>1</v>
      </c>
      <c r="G4" s="152">
        <v>1</v>
      </c>
      <c r="H4" s="151" t="str">
        <f>IF(G4="","",VLOOKUP(G4,$C$3:$D$18,2,FALSE))</f>
        <v>Лука Стојчев (73)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Александар Јакимовски (178)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Јован Пармачки (472)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Јаков Јакимовски (538)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Дамјан Петровиќ (536)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Кристијан Каламадевски (347)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Андреј Стојановски (47)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>Дарко Китановски (499)</v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>Димитар Парасков (560)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>Мартин Ристески (433)</v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>Кристијан Митев (420)</v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44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44" t="str">
        <f>IF(AU25="","",IF(AU25&lt;AU26,AM25,AM26))</f>
        <v/>
      </c>
      <c r="AY16" s="444"/>
      <c r="AZ16" s="445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44"/>
      <c r="AY17" s="444"/>
      <c r="AZ17" s="445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44"/>
      <c r="AZ18" s="445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6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446"/>
    </row>
    <row r="21" spans="2:53" ht="16.2" thickBot="1">
      <c r="C21" s="35"/>
      <c r="D21" s="2"/>
      <c r="G21" s="153"/>
      <c r="P21" s="8"/>
      <c r="Q21" s="76"/>
      <c r="AJ21" s="80"/>
      <c r="AX21" s="476" t="s">
        <v>59</v>
      </c>
      <c r="AY21" s="468"/>
      <c r="AZ21" s="446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7"/>
      <c r="AY22" s="468"/>
      <c r="AZ22" s="473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8"/>
      <c r="AY23" s="469"/>
      <c r="AZ23" s="474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56" t="s">
        <v>81</v>
      </c>
      <c r="AX27" s="457"/>
      <c r="AY27" s="457"/>
      <c r="AZ27" s="457"/>
      <c r="BA27" s="458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59" t="str">
        <f>IF(AU25="","",IF(AU25&gt;AU26,AM25,AM26))</f>
        <v/>
      </c>
      <c r="AZ28" s="459"/>
      <c r="BA28" s="459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0" t="str">
        <f>IF(AU25="","",IF(AU25&lt;AU26,AM25,AM26))</f>
        <v/>
      </c>
      <c r="AZ29" s="460"/>
      <c r="BA29" s="460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1" t="str">
        <f>IF(AU25=AU26,"",IF(AU34=AU35,AM34,IF(AU34&gt;AU35,AM34,AM35)))</f>
        <v/>
      </c>
      <c r="AZ30" s="461"/>
      <c r="BA30" s="461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1" t="str">
        <f>IF(AU25=AU26,"",IF(AU34=AU35,AM35,IF(AU34&lt;AU35,AM34,AM35)))</f>
        <v/>
      </c>
      <c r="AZ31" s="461"/>
      <c r="BA31" s="461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62" t="str">
        <f>IF(Z7="","",IF(Z7&lt;Z8,R7,R8))</f>
        <v/>
      </c>
      <c r="AZ32" s="462"/>
      <c r="BA32" s="462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2" t="str">
        <f>IF(Z19="","",IF(Z19&lt;Z20,R19,R20))</f>
        <v/>
      </c>
      <c r="AZ33" s="462"/>
      <c r="BA33" s="462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2" t="str">
        <f>IF(Z31="","",IF(Z31&lt;Z32,R31,R32))</f>
        <v/>
      </c>
      <c r="AZ34" s="462"/>
      <c r="BA34" s="462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62" t="str">
        <f>IF(Z43="","",IF(Z43&lt;Z44,R43,R44))</f>
        <v/>
      </c>
      <c r="AZ35" s="462"/>
      <c r="BA35" s="462"/>
    </row>
    <row r="36" spans="3:53">
      <c r="G36" s="153"/>
      <c r="AA36" s="76"/>
      <c r="AJ36" s="81"/>
      <c r="AW36" s="92">
        <v>9</v>
      </c>
      <c r="AX36" s="22" t="s">
        <v>20</v>
      </c>
      <c r="AY36" s="479" t="str">
        <f>IF(P4="","",IF(P4&lt;P5,H4,H5))</f>
        <v/>
      </c>
      <c r="AZ36" s="479"/>
      <c r="BA36" s="479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9" t="str">
        <f>IF(P10="","",IF(P10&lt;P11,H10,H11))</f>
        <v/>
      </c>
      <c r="AZ37" s="479"/>
      <c r="BA37" s="479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9" t="str">
        <f>IF(P16="","",IF(P16&lt;P17,H16,H17))</f>
        <v/>
      </c>
      <c r="AZ38" s="479"/>
      <c r="BA38" s="479"/>
    </row>
    <row r="39" spans="3:53">
      <c r="G39" s="153"/>
      <c r="AA39" s="76"/>
      <c r="AW39" s="92">
        <v>9</v>
      </c>
      <c r="AX39" s="22" t="s">
        <v>20</v>
      </c>
      <c r="AY39" s="479" t="str">
        <f>IF(P22="","",IF(P22&lt;P23,H22,H23))</f>
        <v/>
      </c>
      <c r="AZ39" s="479"/>
      <c r="BA39" s="479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9" t="str">
        <f>IF(P28="","",IF(P28&lt;P29,H28,H29))</f>
        <v/>
      </c>
      <c r="AZ40" s="479"/>
      <c r="BA40" s="479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9" t="str">
        <f>IF(P34="","",IF(P34&lt;P35,H34,H35))</f>
        <v/>
      </c>
      <c r="AZ41" s="479"/>
      <c r="BA41" s="479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9" t="str">
        <f>IF(P40="","",IF(P40&lt;P41,H40,H41))</f>
        <v/>
      </c>
      <c r="AZ42" s="479"/>
      <c r="BA42" s="479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9" t="str">
        <f>IF(P46="","",IF(P46&lt;P47,H46,H47))</f>
        <v/>
      </c>
      <c r="AZ43" s="479"/>
      <c r="BA43" s="479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Александар Јакимовски (178)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5"/>
      <c r="AZ50" s="455"/>
      <c r="BA50" s="455"/>
    </row>
    <row r="51" spans="47:53">
      <c r="AX51" s="4"/>
      <c r="AY51" s="455"/>
      <c r="AZ51" s="455"/>
      <c r="BA51" s="455"/>
    </row>
    <row r="52" spans="47:53">
      <c r="AX52" s="4"/>
      <c r="AY52" s="455"/>
      <c r="AZ52" s="455"/>
      <c r="BA52" s="455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43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Лука Стојчев (73)</v>
      </c>
      <c r="E3" s="58" t="s">
        <v>520</v>
      </c>
      <c r="F3">
        <v>1</v>
      </c>
      <c r="G3" s="47">
        <v>1</v>
      </c>
      <c r="H3" s="70" t="str">
        <f>IF(G3="","",VLOOKUP(G3,$C$3:$F$26,2,FALSE))</f>
        <v>Лука Стојчев (73)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Јаков Кузмановски (443)</v>
      </c>
      <c r="G4" s="35"/>
      <c r="Q4" s="62"/>
      <c r="R4" s="74" t="str">
        <f>H3</f>
        <v>Лука Стојчев (73)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Јован Пармачки (472)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Јаков Јакимовски (538)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Дамјан Петровиќ (536)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Кристијан Каламадевски (347)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Андреј Стојановски (47)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Дарко Китановски (499)</v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Димитар Парасков (560)</v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Мартин Ристески (433)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Кристијан Митев (420)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4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4" t="str">
        <f>IF(BE25="","",IF(BE25&lt;BE26,AW25,AW26))</f>
        <v/>
      </c>
      <c r="BI16" s="444"/>
      <c r="BJ16" s="44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4"/>
      <c r="BI17" s="444"/>
      <c r="BJ17" s="44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4"/>
      <c r="BJ18" s="44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7" t="s">
        <v>58</v>
      </c>
      <c r="BJ20" s="44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50" t="s">
        <v>59</v>
      </c>
      <c r="BI21" s="448"/>
      <c r="BJ21" s="44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1"/>
      <c r="BI22" s="448"/>
      <c r="BJ22" s="453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2"/>
      <c r="BI23" s="449"/>
      <c r="BJ23" s="454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56" t="s">
        <v>81</v>
      </c>
      <c r="BH27" s="457"/>
      <c r="BI27" s="457"/>
      <c r="BJ27" s="457"/>
      <c r="BK27" s="458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9" t="str">
        <f>IF(BE25="","",IF(BE25&gt;BE26,AW25,AW26))</f>
        <v/>
      </c>
      <c r="BJ28" s="459"/>
      <c r="BK28" s="459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0" t="str">
        <f>IF(BE25="","",IF(BE25&lt;BE26,AW25,AW26))</f>
        <v/>
      </c>
      <c r="BJ29" s="460"/>
      <c r="BK29" s="460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1" t="str">
        <f>IF(BE25=BE26,"",IF(BE34=BE35,AW34,IF(BE34&gt;BE35,AW34,AW35)))</f>
        <v/>
      </c>
      <c r="BJ30" s="461"/>
      <c r="BK30" s="461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1" t="str">
        <f>IF(BE25=BE26,"",IF(BE34=BE35,AW35,IF(BE34&lt;BE35,AW34,AW35)))</f>
        <v/>
      </c>
      <c r="BJ31" s="461"/>
      <c r="BK31" s="461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2" t="str">
        <f>IF(AJ7="","",IF(AJ7&lt;AJ8,AB7,AB8))</f>
        <v/>
      </c>
      <c r="BJ32" s="462"/>
      <c r="BK32" s="462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62" t="str">
        <f>IF(AJ19="","",IF(AJ19&lt;AJ20,AB19,AB20))</f>
        <v/>
      </c>
      <c r="BJ33" s="462"/>
      <c r="BK33" s="462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2" t="str">
        <f>IF(AJ31="","",IF(AJ31&lt;AJ32,AB31,AB32))</f>
        <v/>
      </c>
      <c r="BJ34" s="462"/>
      <c r="BK34" s="462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2" t="str">
        <f>IF(AJ43="","",IF(AJ43&lt;AJ44,AB43,AB44))</f>
        <v/>
      </c>
      <c r="BJ35" s="462"/>
      <c r="BK35" s="462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Александар Јакимовски (178)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Александар Јакимовски (178)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5"/>
      <c r="BJ50" s="455"/>
      <c r="BK50" s="455"/>
    </row>
    <row r="51" spans="8:63">
      <c r="H51"/>
      <c r="I51"/>
      <c r="J51"/>
      <c r="K51"/>
      <c r="L51"/>
      <c r="M51"/>
      <c r="N51"/>
      <c r="O51"/>
      <c r="P51"/>
      <c r="BH51" s="4"/>
      <c r="BI51" s="455"/>
      <c r="BJ51" s="455"/>
      <c r="BK51" s="455"/>
    </row>
    <row r="52" spans="8:63">
      <c r="H52"/>
      <c r="I52"/>
      <c r="J52"/>
      <c r="K52"/>
      <c r="L52"/>
      <c r="M52"/>
      <c r="N52"/>
      <c r="O52"/>
      <c r="P52"/>
      <c r="BH52" s="4"/>
      <c r="BI52" s="455"/>
      <c r="BJ52" s="455"/>
      <c r="BK52" s="455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43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Лука Стојчев (73)</v>
      </c>
      <c r="E3" s="314" t="s">
        <v>515</v>
      </c>
      <c r="F3">
        <v>1</v>
      </c>
      <c r="G3" s="47">
        <v>1</v>
      </c>
      <c r="H3" s="70" t="str">
        <f>IF(G3="","",VLOOKUP(G3,$C$3:$E$26,2,FALSE))</f>
        <v>Лука Стојчев (73)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Јаков Кузмановски (443)</v>
      </c>
      <c r="G4" s="35"/>
      <c r="Q4" s="62"/>
      <c r="R4" s="74" t="str">
        <f>H3</f>
        <v>Лука Стојчев (73)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Јован Пармачки (472)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Јаков Јакимовски (538)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Дамјан Петровиќ (536)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Кристијан Каламадевски (347)</v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Андреј Стојановски (47)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Дарко Китановски (499)</v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Димитар Парасков (560)</v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Мартин Ристески (433)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Кристијан Митев (420)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4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4" t="str">
        <f>IF(BE25="","",IF(BE25&lt;BE26,AW25,AW26))</f>
        <v/>
      </c>
      <c r="BI16" s="444"/>
      <c r="BJ16" s="44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4"/>
      <c r="BI17" s="444"/>
      <c r="BJ17" s="44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4"/>
      <c r="BJ18" s="44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7" t="s">
        <v>58</v>
      </c>
      <c r="BJ20" s="44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50" t="s">
        <v>59</v>
      </c>
      <c r="BI21" s="448"/>
      <c r="BJ21" s="44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1"/>
      <c r="BI22" s="448"/>
      <c r="BJ22" s="453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2"/>
      <c r="BI23" s="449"/>
      <c r="BJ23" s="454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56" t="s">
        <v>81</v>
      </c>
      <c r="BH27" s="457"/>
      <c r="BI27" s="457"/>
      <c r="BJ27" s="457"/>
      <c r="BK27" s="458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9" t="str">
        <f>IF(BE25="","",IF(BE25&gt;BE26,AW25,AW26))</f>
        <v/>
      </c>
      <c r="BJ28" s="459"/>
      <c r="BK28" s="459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0" t="str">
        <f>IF(BE25="","",IF(BE25&lt;BE26,AW25,AW26))</f>
        <v/>
      </c>
      <c r="BJ29" s="460"/>
      <c r="BK29" s="460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1" t="str">
        <f>IF(BE25=BE26,"",IF(BE34=BE35,AW34,IF(BE34&gt;BE35,AW34,AW35)))</f>
        <v/>
      </c>
      <c r="BJ30" s="461"/>
      <c r="BK30" s="461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1" t="str">
        <f>IF(BE25=BE26,"",IF(BE34=BE35,AW35,IF(BE34&lt;BE35,AW34,AW35)))</f>
        <v/>
      </c>
      <c r="BJ31" s="461"/>
      <c r="BK31" s="461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2" t="str">
        <f>IF(AJ7="","",IF(AJ7&lt;AJ8,AB7,AB8))</f>
        <v/>
      </c>
      <c r="BJ32" s="462"/>
      <c r="BK32" s="462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62" t="str">
        <f>IF(AJ19="","",IF(AJ19&lt;AJ20,AB19,AB20))</f>
        <v/>
      </c>
      <c r="BJ33" s="462"/>
      <c r="BK33" s="462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2" t="str">
        <f>IF(AJ31="","",IF(AJ31&lt;AJ32,AB31,AB32))</f>
        <v/>
      </c>
      <c r="BJ34" s="462"/>
      <c r="BK34" s="462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2" t="str">
        <f>IF(AJ43="","",IF(AJ43&lt;AJ44,AB43,AB44))</f>
        <v/>
      </c>
      <c r="BJ35" s="462"/>
      <c r="BK35" s="462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Александар Јакимовски (178)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Александар Јакимовски (178)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5"/>
      <c r="BJ50" s="455"/>
      <c r="BK50" s="455"/>
    </row>
    <row r="51" spans="8:63">
      <c r="H51"/>
      <c r="I51"/>
      <c r="J51"/>
      <c r="K51"/>
      <c r="L51"/>
      <c r="M51"/>
      <c r="N51"/>
      <c r="O51"/>
      <c r="P51"/>
      <c r="BH51" s="4"/>
      <c r="BI51" s="455"/>
      <c r="BJ51" s="455"/>
      <c r="BK51" s="455"/>
    </row>
    <row r="52" spans="8:63">
      <c r="H52"/>
      <c r="I52"/>
      <c r="J52"/>
      <c r="K52"/>
      <c r="L52"/>
      <c r="M52"/>
      <c r="N52"/>
      <c r="O52"/>
      <c r="P52"/>
      <c r="BH52" s="4"/>
      <c r="BI52" s="455"/>
      <c r="BJ52" s="455"/>
      <c r="BK52" s="455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443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Лука Стојчев (73)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Јаков Кузмановски (443)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Александар Јакимовски (178)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Јован Пармачки (472)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Јаков Јакимовски (538)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Дамјан Петровиќ (536)</v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Кристијан Каламадевски (347)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Андреј Стојановски (47)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>Дарко Китановски (499)</v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>Димитар Парасков (560)</v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>Мартин Ристески (433)</v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>Кристијан Митев (420)</v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44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44" t="str">
        <f>IF(BD33=BD34,"",IF(BD33="","",IF(BD33&lt;BD34,AV33,AV34)))</f>
        <v/>
      </c>
      <c r="BG16" s="444"/>
      <c r="BH16" s="445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44"/>
      <c r="BG17" s="444"/>
      <c r="BH17" s="445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44"/>
      <c r="BH18" s="445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46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47" t="s">
        <v>58</v>
      </c>
      <c r="BH20" s="446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48"/>
      <c r="BH21" s="446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0" t="s">
        <v>59</v>
      </c>
      <c r="BG22" s="448"/>
      <c r="BH22" s="453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1"/>
      <c r="BG23" s="449"/>
      <c r="BH23" s="454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4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4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3" t="str">
        <f>IF(BD33=BD34,"",IF(BD33="","",IF(BD33&lt;BD34,AV33,AV34)))</f>
        <v/>
      </c>
      <c r="BG42" s="484"/>
      <c r="BH42" s="484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3"/>
      <c r="BH43" s="484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3"/>
      <c r="BH44" s="484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46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47" t="s">
        <v>58</v>
      </c>
      <c r="BH46" s="446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48"/>
      <c r="BH47" s="482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0" t="s">
        <v>59</v>
      </c>
      <c r="BG48" s="448"/>
      <c r="BH48" s="453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1"/>
      <c r="BG49" s="449"/>
      <c r="BH49" s="454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56" t="s">
        <v>81</v>
      </c>
      <c r="BF51" s="457"/>
      <c r="BG51" s="457"/>
      <c r="BH51" s="457"/>
      <c r="BI51" s="458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5" t="str">
        <f>IF(BD33="","",IF(BD33&gt;BD34,AV33,AV34))</f>
        <v/>
      </c>
      <c r="BH52" s="485"/>
      <c r="BI52" s="485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60" t="str">
        <f>IF(BD33=BD34,"",IF(BD33="","",IF(BD33&lt;BD34,AV33,AV34)))</f>
        <v/>
      </c>
      <c r="BH53" s="460"/>
      <c r="BI53" s="460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61" t="str">
        <f>IF(BD33=BD34,"",IF(BD41=BD42,AV41,IF(BD41&gt;BD42,AV41,AV42)))</f>
        <v/>
      </c>
      <c r="BH54" s="461"/>
      <c r="BI54" s="461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61" t="str">
        <f>IF(BD33=BD34,"",IF(BD41=BD42,AV42,IF(BD42&lt;BD41,AV42,AV41)))</f>
        <v/>
      </c>
      <c r="BH55" s="461"/>
      <c r="BI55" s="461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62" t="str">
        <f>IF(AI9="","",IF(AI9&lt;AI10,AA9,AA10))</f>
        <v/>
      </c>
      <c r="BH56" s="462"/>
      <c r="BI56" s="462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62" t="str">
        <f>IF(AI25="","",IF(AI25&lt;AI26,AA25,AA26))</f>
        <v/>
      </c>
      <c r="BH57" s="462"/>
      <c r="BI57" s="462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62" t="str">
        <f>IF(AI41="","",IF(AI41&lt;AI42,AA41,AA42))</f>
        <v/>
      </c>
      <c r="BH58" s="462"/>
      <c r="BI58" s="462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62" t="str">
        <f>IF(AI57="","",IF(AI57&lt;AI58,AA57,AA58))</f>
        <v/>
      </c>
      <c r="BH59" s="462"/>
      <c r="BI59" s="462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9" t="str">
        <f>IF(Y5="","",IF(Y5&lt;Y6,Q5,Q6))</f>
        <v/>
      </c>
      <c r="BH60" s="479"/>
      <c r="BI60" s="479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9" t="str">
        <f>IF(Y13="","",IF(Y13&lt;Y14,Q13,Q14))</f>
        <v/>
      </c>
      <c r="BH61" s="479"/>
      <c r="BI61" s="479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9" t="str">
        <f>IF(Y21="","",IF(Y21&lt;Y22,Q21,Q22))</f>
        <v/>
      </c>
      <c r="BH62" s="479"/>
      <c r="BI62" s="479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9" t="str">
        <f>IF(Y29="","",IF(Y29&lt;Y30,Q29,Q30))</f>
        <v/>
      </c>
      <c r="BH63" s="479"/>
      <c r="BI63" s="479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9" t="str">
        <f>IF(Y37="","",IF(Y37&lt;Y38,Q37,Q38))</f>
        <v/>
      </c>
      <c r="BH64" s="479"/>
      <c r="BI64" s="479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9" t="str">
        <f>IF(Y45="","",IF(Y45&lt;Y46,Q45,Q46))</f>
        <v/>
      </c>
      <c r="BH65" s="479"/>
      <c r="BI65" s="479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9" t="str">
        <f>IF(Y53="","",IF(Y53&lt;Y54,Q53,Q54))</f>
        <v/>
      </c>
      <c r="BH66" s="479"/>
      <c r="BI66" s="479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9" t="str">
        <f>IF(Y61="","",IF(Y61&lt;Y62,Q61,Q62))</f>
        <v/>
      </c>
      <c r="BH67" s="479"/>
      <c r="BI67" s="479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443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Лука Стојчев (73)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Јаков Кузмановски (443)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Јован Пармачки (472)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Јаков Јакимовски (538)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Дамјан Петровиќ (536)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Кристијан Каламадевски (347)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Андреј Стојановски (47)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>Дарко Китановски (499)</v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>Димитар Парасков (560)</v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>Мартин Ристески (433)</v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>Кристијан Митев (420)</v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9"/>
  <sheetViews>
    <sheetView topLeftCell="A755"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IF(GROUPS!D4="","",GROUPS!D4)</f>
        <v>Лука Стојчев (73)</v>
      </c>
      <c r="D3" s="399"/>
      <c r="E3" s="400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8" t="str">
        <f>IF(GROUPS!D5="","",GROUPS!D5)</f>
        <v>Јаков Кузмановски (443)</v>
      </c>
      <c r="D4" s="399"/>
      <c r="E4" s="400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8" t="str">
        <f>IF(GROUPS!D6="","",GROUPS!D6)</f>
        <v>Марко Цикарски (550)</v>
      </c>
      <c r="D5" s="399"/>
      <c r="E5" s="400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7" t="str">
        <f>IF(GROUPS!D7="","",GROUPS!D7)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 ht="18.600000000000001" thickBot="1">
      <c r="B9" s="183">
        <v>1</v>
      </c>
      <c r="C9" s="184" t="str">
        <f>IF(C3="","",VLOOKUP(B9,$B$3:$E$6,2,FALSE))</f>
        <v>Лука Стојчев (73)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Јаков Кузмановски (443)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Јаков Кузмановски (443)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Марко Цикарски (550)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 hidden="1">
      <c r="B17" s="128">
        <v>1</v>
      </c>
      <c r="C17" s="129" t="str">
        <f>IF(C5="","",VLOOKUP(B17,$B$3:$E$6,2,FALSE))</f>
        <v>Лука Стојчев (73)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Марко Цикарски (550)</v>
      </c>
      <c r="D18" s="140">
        <v>2</v>
      </c>
      <c r="E18" s="141" t="str">
        <f>IF(C5="","",VLOOKUP(D18,$B$3:$E$6,2,FALSE))</f>
        <v>Јаков Кузмановски (443)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Y7" sqref="Y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421" t="str">
        <f>IF(ISERROR(INDEX($C$3:$C$6,MATCH(W2,$T$3:$T$6,0))),"",(INDEX($C$3:$C$6,MATCH(W2,$T$3:$T$6,0))))</f>
        <v>Лука Стојчев (73)</v>
      </c>
      <c r="Y2" s="422"/>
      <c r="Z2" s="423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IF(GROUPS!D4="","",GROUPS!D4)</f>
        <v>Лука Стојчев (73)</v>
      </c>
      <c r="D3" s="399"/>
      <c r="E3" s="400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27</v>
      </c>
      <c r="R3" s="401">
        <f>IF(ISERROR(IF(AND(T9="",T13="",T17=""),"",SUM(AB3:AD3)+(N3-O3)/1000)+(AK3/10000)),"",IF(AND(T9="",T13="",T17=""),"",SUM(AB3:AD3)+(N3-O3)/1000)+(AK3/10000)+(AG3/100000))</f>
        <v>4.0105599999999999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421" t="str">
        <f t="shared" ref="X3:X5" si="0">IF(ISERROR(INDEX($C$3:$C$6,MATCH(W3,$T$3:$T$6,0))),"",(INDEX($C$3:$C$6,MATCH(W3,$T$3:$T$6,0))))</f>
        <v>Јаков Кузмановски (443)</v>
      </c>
      <c r="Y3" s="422"/>
      <c r="Z3" s="423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2">
        <f>SUM(AH3:AJ3)-SUM(AM3:AO3)</f>
        <v>39</v>
      </c>
      <c r="AL3" s="403"/>
      <c r="AM3" s="10">
        <f>AH5</f>
        <v>14</v>
      </c>
      <c r="AN3" s="10">
        <f>AI4</f>
        <v>13</v>
      </c>
      <c r="AO3" s="10">
        <f>AJ6</f>
        <v>0</v>
      </c>
      <c r="AP3" s="9">
        <f>SUM(AM3:AO3)</f>
        <v>27</v>
      </c>
    </row>
    <row r="4" spans="2:47" ht="24" customHeight="1">
      <c r="B4" s="101">
        <v>2</v>
      </c>
      <c r="C4" s="398" t="str">
        <f>IF(GROUPS!D5="","",GROUPS!D5)</f>
        <v>Јаков Кузмановски (443)</v>
      </c>
      <c r="D4" s="399"/>
      <c r="E4" s="400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46</v>
      </c>
      <c r="Q4" s="111">
        <f>IF(AND(T10="",U13="",U18=""),"",AP4)</f>
        <v>50</v>
      </c>
      <c r="R4" s="401">
        <f>IF(ISERROR(IF(AND(T10="",U13="",U18=""),"",SUM(AB4:AD4)+(N4-O4)/1000)+(AK4/10000)+(AG4/100000)),"",IF(AND(T10="",U13="",U18=""),"",SUM(AB4:AD4)+(N4-O4)/1000)+(AK4/10000)+(AG4/100000))</f>
        <v>3.0000599999999999</v>
      </c>
      <c r="S4" s="401"/>
      <c r="T4" s="112">
        <f>IF(ISERROR(IF(C4="","",RANK(R4,$R$3:$S$6,0))),"",IF(C4="","",RANK(R4,$R$3:$S$6,0)))</f>
        <v>2</v>
      </c>
      <c r="U4" s="9"/>
      <c r="V4" s="9"/>
      <c r="W4" s="7">
        <v>3</v>
      </c>
      <c r="X4" s="424" t="str">
        <f t="shared" si="0"/>
        <v>Марко Цикарски (550)</v>
      </c>
      <c r="Y4" s="425"/>
      <c r="Z4" s="426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46</v>
      </c>
      <c r="AH4" s="10">
        <f>F10+H10+J10+L10+N10+P10+R10</f>
        <v>0</v>
      </c>
      <c r="AI4" s="10">
        <f>G13+I13+K13+M13+O13+Q13+S13</f>
        <v>13</v>
      </c>
      <c r="AJ4" s="10">
        <f>G18+I18+K18+M18+O18+Q18+S18</f>
        <v>33</v>
      </c>
      <c r="AK4" s="402">
        <f t="shared" ref="AK4:AK6" si="2">SUM(AH4:AJ4)-SUM(AM4:AO4)</f>
        <v>-4</v>
      </c>
      <c r="AL4" s="403"/>
      <c r="AM4" s="10">
        <f>AH6</f>
        <v>0</v>
      </c>
      <c r="AN4" s="10">
        <f>AI3</f>
        <v>33</v>
      </c>
      <c r="AO4" s="10">
        <f>AJ5</f>
        <v>17</v>
      </c>
      <c r="AP4" s="9">
        <f t="shared" ref="AP4:AP6" si="3">SUM(AM4:AO4)</f>
        <v>50</v>
      </c>
    </row>
    <row r="5" spans="2:47" ht="24" customHeight="1">
      <c r="B5" s="101">
        <v>3</v>
      </c>
      <c r="C5" s="398" t="str">
        <f>IF(GROUPS!D6="","",GROUPS!D6)</f>
        <v>Марко Цикарски (550)</v>
      </c>
      <c r="D5" s="399"/>
      <c r="E5" s="400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31</v>
      </c>
      <c r="Q5" s="111">
        <f>IF(AND(U9="",T14="",T18=""),"",AP5)</f>
        <v>66</v>
      </c>
      <c r="R5" s="401">
        <f>IF(ISERROR(IF(AND(U9="",T14="",T18=""),"",SUM(AB5:AD5)+(N5-O5)/1000)+(AK5/10000)+(AG5/100000)),"",IF(AND(U9="",T14="",T18=""),"",SUM(AB5:AD5)+(N5-O5)/1000)+(AK5/10000)+(AG5/100000))</f>
        <v>1.99081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24" t="str">
        <f t="shared" si="0"/>
        <v/>
      </c>
      <c r="Y5" s="425"/>
      <c r="Z5" s="42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31</v>
      </c>
      <c r="AH5" s="10">
        <f>G9+I9+K9+M9+O9+Q9+S9</f>
        <v>14</v>
      </c>
      <c r="AI5" s="10">
        <f>F14+H14+J14+L14+N14+P14+R14</f>
        <v>0</v>
      </c>
      <c r="AJ5" s="10">
        <f>F18+H18+J18+L18+N18+P18+R18</f>
        <v>17</v>
      </c>
      <c r="AK5" s="402">
        <f t="shared" si="2"/>
        <v>-35</v>
      </c>
      <c r="AL5" s="403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07" t="str">
        <f>IF(GROUPS!D7="","",GROUPS!D7)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143</v>
      </c>
      <c r="Q7" s="127">
        <f>SUM(Q3:Q6)</f>
        <v>143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Лука Стојчев (73)</v>
      </c>
      <c r="D9" s="130">
        <v>3</v>
      </c>
      <c r="E9" s="131" t="str">
        <f>IF(C5="","",VLOOKUP(D9,$B$3:$E$6,2,FALSE))</f>
        <v>Марко Цикарски (550)</v>
      </c>
      <c r="F9" s="132">
        <v>11</v>
      </c>
      <c r="G9" s="133">
        <v>5</v>
      </c>
      <c r="H9" s="134">
        <v>11</v>
      </c>
      <c r="I9" s="133">
        <v>4</v>
      </c>
      <c r="J9" s="132">
        <v>11</v>
      </c>
      <c r="K9" s="135">
        <v>5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Јаков Кузмановски (443)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Лука Стојчев (73)</v>
      </c>
      <c r="D13" s="130">
        <v>2</v>
      </c>
      <c r="E13" s="131" t="str">
        <f>IF(C4="","",VLOOKUP(D13,$B$3:$E$6,2,FALSE))</f>
        <v>Јаков Кузмановски (443)</v>
      </c>
      <c r="F13" s="132">
        <v>11</v>
      </c>
      <c r="G13" s="133">
        <v>2</v>
      </c>
      <c r="H13" s="134">
        <v>11</v>
      </c>
      <c r="I13" s="133">
        <v>5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Марко Цикарски (550)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Лука Стојчев (73)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Марко Цикарски (550)</v>
      </c>
      <c r="D18" s="140">
        <v>2</v>
      </c>
      <c r="E18" s="141" t="str">
        <f>IF(C4="","",VLOOKUP(D18,$B$3:$E$6,2,FALSE))</f>
        <v>Јаков Кузмановски (443)</v>
      </c>
      <c r="F18" s="142">
        <v>3</v>
      </c>
      <c r="G18" s="143">
        <v>11</v>
      </c>
      <c r="H18" s="144">
        <v>9</v>
      </c>
      <c r="I18" s="143">
        <v>11</v>
      </c>
      <c r="J18" s="142">
        <v>5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Y7" sqref="Y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Александар Јакимовски (178)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IF(GROUPS!F4="","",GROUPS!F4)</f>
        <v>Александар Јакимовски (178)</v>
      </c>
      <c r="D3" s="399"/>
      <c r="E3" s="400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67</v>
      </c>
      <c r="Q3" s="111">
        <f>IF(AND(T9="",T13="",T17=""),"",AP3)</f>
        <v>31</v>
      </c>
      <c r="R3" s="401">
        <f>IF(ISERROR(IF(AND(T9="",T13="",T17=""),"",SUM(AB3:AD3)+(N3-O3)/1000)+(AK3/10000)),"",IF(AND(T9="",T13="",T17=""),"",SUM(AB3:AD3)+(N3-O3)/1000)+(AK3/10000)+(AG3/100000))</f>
        <v>4.0102700000000002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Јован Пармачки (472)</v>
      </c>
      <c r="Y3" s="394"/>
      <c r="Z3" s="395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67</v>
      </c>
      <c r="AH3" s="10">
        <f>F9+H9+J9+L9+N9+P9+R9</f>
        <v>33</v>
      </c>
      <c r="AI3" s="10">
        <f>F13+H13+J13+L13+N13+P13+R13</f>
        <v>34</v>
      </c>
      <c r="AJ3" s="10">
        <f>F17+H17+J17+L17+N17+P17+R17</f>
        <v>0</v>
      </c>
      <c r="AK3" s="402">
        <f>SUM(AH3:AJ3)-SUM(AM3:AO3)</f>
        <v>36</v>
      </c>
      <c r="AL3" s="403"/>
      <c r="AM3" s="10">
        <f>AH5</f>
        <v>15</v>
      </c>
      <c r="AN3" s="10">
        <f>AI4</f>
        <v>16</v>
      </c>
      <c r="AO3" s="10">
        <f>AJ6</f>
        <v>0</v>
      </c>
      <c r="AP3" s="9">
        <f>SUM(AM3:AO3)</f>
        <v>31</v>
      </c>
    </row>
    <row r="4" spans="2:47" ht="24" customHeight="1">
      <c r="B4" s="101">
        <v>2</v>
      </c>
      <c r="C4" s="398" t="str">
        <f>IF(GROUPS!F5="","",GROUPS!F5)</f>
        <v>Јован Пармачки (472)</v>
      </c>
      <c r="D4" s="399"/>
      <c r="E4" s="400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56</v>
      </c>
      <c r="Q4" s="111">
        <f>IF(AND(T10="",U13="",U18=""),"",AP4)</f>
        <v>65</v>
      </c>
      <c r="R4" s="401">
        <f>IF(ISERROR(IF(AND(T10="",U13="",U18=""),"",SUM(AB4:AD4)+(N4-O4)/1000)+(AK4/10000)+(AG4/100000)),"",IF(AND(T10="",U13="",U18=""),"",SUM(AB4:AD4)+(N4-O4)/1000)+(AK4/10000)+(AG4/100000))</f>
        <v>2.9986600000000001</v>
      </c>
      <c r="S4" s="401"/>
      <c r="T4" s="112">
        <f>IF(ISERROR(IF(C4="","",RANK(R4,$R$3:$S$6,0))),"",IF(C4="","",RANK(R4,$R$3:$S$6,0)))</f>
        <v>2</v>
      </c>
      <c r="U4" s="9"/>
      <c r="V4" s="9"/>
      <c r="W4" s="7">
        <v>3</v>
      </c>
      <c r="X4" s="404" t="str">
        <f t="shared" si="0"/>
        <v>Андреј Бејковски (440)</v>
      </c>
      <c r="Y4" s="405"/>
      <c r="Z4" s="406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56</v>
      </c>
      <c r="AH4" s="10">
        <f>F10+H10+J10+L10+N10+P10+R10</f>
        <v>0</v>
      </c>
      <c r="AI4" s="10">
        <f>G13+I13+K13+M13+O13+Q13+S13</f>
        <v>16</v>
      </c>
      <c r="AJ4" s="10">
        <f>G18+I18+K18+M18+O18+Q18+S18</f>
        <v>40</v>
      </c>
      <c r="AK4" s="402">
        <f t="shared" ref="AK4:AK6" si="2">SUM(AH4:AJ4)-SUM(AM4:AO4)</f>
        <v>-9</v>
      </c>
      <c r="AL4" s="403"/>
      <c r="AM4" s="10">
        <f>AH6</f>
        <v>0</v>
      </c>
      <c r="AN4" s="10">
        <f>AI3</f>
        <v>34</v>
      </c>
      <c r="AO4" s="10">
        <f>AJ5</f>
        <v>31</v>
      </c>
      <c r="AP4" s="9">
        <f t="shared" ref="AP4:AP6" si="3">SUM(AM4:AO4)</f>
        <v>65</v>
      </c>
    </row>
    <row r="5" spans="2:47" ht="24" customHeight="1">
      <c r="B5" s="101">
        <v>3</v>
      </c>
      <c r="C5" s="398" t="str">
        <f>IF(GROUPS!F6="","",GROUPS!F6)</f>
        <v>Андреј Бејковски (440)</v>
      </c>
      <c r="D5" s="399"/>
      <c r="E5" s="400"/>
      <c r="F5" s="113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46</v>
      </c>
      <c r="Q5" s="111">
        <f>IF(AND(U9="",T14="",T18=""),"",AP5)</f>
        <v>73</v>
      </c>
      <c r="R5" s="401">
        <f>IF(ISERROR(IF(AND(U9="",T14="",T18=""),"",SUM(AB5:AD5)+(N5-O5)/1000)+(AK5/10000)+(AG5/100000)),"",IF(AND(U9="",T14="",T18=""),"",SUM(AB5:AD5)+(N5-O5)/1000)+(AK5/10000)+(AG5/100000))</f>
        <v>1.9927600000000001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04" t="str">
        <f t="shared" si="0"/>
        <v/>
      </c>
      <c r="Y5" s="405"/>
      <c r="Z5" s="40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46</v>
      </c>
      <c r="AH5" s="10">
        <f>G9+I9+K9+M9+O9+Q9+S9</f>
        <v>15</v>
      </c>
      <c r="AI5" s="10">
        <f>F14+H14+J14+L14+N14+P14+R14</f>
        <v>0</v>
      </c>
      <c r="AJ5" s="10">
        <f>F18+H18+J18+L18+N18+P18+R18</f>
        <v>31</v>
      </c>
      <c r="AK5" s="402">
        <f t="shared" si="2"/>
        <v>-27</v>
      </c>
      <c r="AL5" s="403"/>
      <c r="AM5" s="10">
        <f>AH3</f>
        <v>33</v>
      </c>
      <c r="AN5" s="10">
        <f>AI6</f>
        <v>0</v>
      </c>
      <c r="AO5" s="10">
        <f>AJ4</f>
        <v>40</v>
      </c>
      <c r="AP5" s="9">
        <f t="shared" si="3"/>
        <v>73</v>
      </c>
    </row>
    <row r="6" spans="2:47" ht="24" customHeight="1" thickBot="1">
      <c r="B6" s="116">
        <v>4</v>
      </c>
      <c r="C6" s="407" t="str">
        <f>IF(GROUPS!F7="","",GROUPS!F7)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169</v>
      </c>
      <c r="Q7" s="127">
        <f>SUM(Q3:Q6)</f>
        <v>169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Александар Јакимовски (178)</v>
      </c>
      <c r="D9" s="130">
        <v>3</v>
      </c>
      <c r="E9" s="131" t="str">
        <f>IF(C5="","",VLOOKUP(D9,$B$3:$E$6,2,FALSE))</f>
        <v>Андреј Бејковски (440)</v>
      </c>
      <c r="F9" s="132">
        <v>11</v>
      </c>
      <c r="G9" s="133">
        <v>4</v>
      </c>
      <c r="H9" s="134">
        <v>11</v>
      </c>
      <c r="I9" s="133">
        <v>5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Јован Пармачки (472)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Александар Јакимовски (178)</v>
      </c>
      <c r="D13" s="130">
        <v>2</v>
      </c>
      <c r="E13" s="131" t="str">
        <f>IF(C4="","",VLOOKUP(D13,$B$3:$E$6,2,FALSE))</f>
        <v>Јован Пармачки (472)</v>
      </c>
      <c r="F13" s="132">
        <v>12</v>
      </c>
      <c r="G13" s="133">
        <v>10</v>
      </c>
      <c r="H13" s="134">
        <v>11</v>
      </c>
      <c r="I13" s="133">
        <v>1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Андреј Бејковски (440)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Александар Јакимовски (178)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Андреј Бејковски (440)</v>
      </c>
      <c r="D18" s="140">
        <v>2</v>
      </c>
      <c r="E18" s="141" t="str">
        <f>IF(C4="","",VLOOKUP(D18,$B$3:$E$6,2,FALSE))</f>
        <v>Јован Пармачки (472)</v>
      </c>
      <c r="F18" s="142">
        <v>6</v>
      </c>
      <c r="G18" s="143">
        <v>11</v>
      </c>
      <c r="H18" s="144">
        <v>9</v>
      </c>
      <c r="I18" s="143">
        <v>11</v>
      </c>
      <c r="J18" s="142">
        <v>11</v>
      </c>
      <c r="K18" s="145">
        <v>7</v>
      </c>
      <c r="L18" s="144">
        <v>5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N18" sqref="N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Јаков Јакимовски (538)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IF(GROUPS!H4="","",GROUPS!H4)</f>
        <v>Јаков Јакимовски (538)</v>
      </c>
      <c r="D3" s="399"/>
      <c r="E3" s="400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1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76</v>
      </c>
      <c r="Q3" s="111">
        <f>IF(AND(T9="",T13="",T17=""),"",AP3)</f>
        <v>46</v>
      </c>
      <c r="R3" s="401">
        <f>IF(ISERROR(IF(AND(T9="",T13="",T17=""),"",SUM(AB3:AD3)+(N3-O3)/1000)+(AK3/10000)),"",IF(AND(T9="",T13="",T17=""),"",SUM(AB3:AD3)+(N3-O3)/1000)+(AK3/10000)+(AG3/100000))</f>
        <v>4.0087599999999997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Дамјан Петровиќ (536)</v>
      </c>
      <c r="Y3" s="394"/>
      <c r="Z3" s="395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76</v>
      </c>
      <c r="AH3" s="10">
        <f>F9+H9+J9+L9+N9+P9+R9</f>
        <v>42</v>
      </c>
      <c r="AI3" s="10">
        <f>F13+H13+J13+L13+N13+P13+R13</f>
        <v>34</v>
      </c>
      <c r="AJ3" s="10">
        <f>F17+H17+J17+L17+N17+P17+R17</f>
        <v>0</v>
      </c>
      <c r="AK3" s="402">
        <f>SUM(AH3:AJ3)-SUM(AM3:AO3)</f>
        <v>30</v>
      </c>
      <c r="AL3" s="403"/>
      <c r="AM3" s="10">
        <f>AH5</f>
        <v>26</v>
      </c>
      <c r="AN3" s="10">
        <f>AI4</f>
        <v>20</v>
      </c>
      <c r="AO3" s="10">
        <f>AJ6</f>
        <v>0</v>
      </c>
      <c r="AP3" s="9">
        <f>SUM(AM3:AO3)</f>
        <v>46</v>
      </c>
    </row>
    <row r="4" spans="2:47" ht="24" customHeight="1">
      <c r="B4" s="101">
        <v>2</v>
      </c>
      <c r="C4" s="398" t="str">
        <f>IF(GROUPS!H5="","",GROUPS!H5)</f>
        <v>Дамјан Петровиќ (536)</v>
      </c>
      <c r="D4" s="399"/>
      <c r="E4" s="400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62</v>
      </c>
      <c r="Q4" s="111">
        <f>IF(AND(T10="",U13="",U18=""),"",AP4)</f>
        <v>69</v>
      </c>
      <c r="R4" s="401">
        <f>IF(ISERROR(IF(AND(T10="",U13="",U18=""),"",SUM(AB4:AD4)+(N4-O4)/1000)+(AK4/10000)+(AG4/100000)),"",IF(AND(T10="",U13="",U18=""),"",SUM(AB4:AD4)+(N4-O4)/1000)+(AK4/10000)+(AG4/100000))</f>
        <v>2.99892</v>
      </c>
      <c r="S4" s="401"/>
      <c r="T4" s="112">
        <f>IF(ISERROR(IF(C4="","",RANK(R4,$R$3:$S$6,0))),"",IF(C4="","",RANK(R4,$R$3:$S$6,0)))</f>
        <v>2</v>
      </c>
      <c r="U4" s="9"/>
      <c r="V4" s="9"/>
      <c r="W4" s="7">
        <v>3</v>
      </c>
      <c r="X4" s="404" t="str">
        <f t="shared" si="0"/>
        <v>Филип Цековски (566)</v>
      </c>
      <c r="Y4" s="405"/>
      <c r="Z4" s="406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62</v>
      </c>
      <c r="AH4" s="10">
        <f>F10+H10+J10+L10+N10+P10+R10</f>
        <v>0</v>
      </c>
      <c r="AI4" s="10">
        <f>G13+I13+K13+M13+O13+Q13+S13</f>
        <v>20</v>
      </c>
      <c r="AJ4" s="10">
        <f>G18+I18+K18+M18+O18+Q18+S18</f>
        <v>42</v>
      </c>
      <c r="AK4" s="402">
        <f t="shared" ref="AK4:AK6" si="2">SUM(AH4:AJ4)-SUM(AM4:AO4)</f>
        <v>-7</v>
      </c>
      <c r="AL4" s="403"/>
      <c r="AM4" s="10">
        <f>AH6</f>
        <v>0</v>
      </c>
      <c r="AN4" s="10">
        <f>AI3</f>
        <v>34</v>
      </c>
      <c r="AO4" s="10">
        <f>AJ5</f>
        <v>35</v>
      </c>
      <c r="AP4" s="9">
        <f t="shared" ref="AP4:AP6" si="3">SUM(AM4:AO4)</f>
        <v>69</v>
      </c>
    </row>
    <row r="5" spans="2:47" ht="24" customHeight="1">
      <c r="B5" s="101">
        <v>3</v>
      </c>
      <c r="C5" s="398" t="str">
        <f>IF(GROUPS!H6="","",GROUPS!H6)</f>
        <v>Филип Цековски (566)</v>
      </c>
      <c r="D5" s="399"/>
      <c r="E5" s="400"/>
      <c r="F5" s="113">
        <f>U9</f>
        <v>1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2</v>
      </c>
      <c r="O5" s="109">
        <f>IF(AND(U9="",T14="",T18=""),"",SUM(G5,I5,M5))</f>
        <v>6</v>
      </c>
      <c r="P5" s="110">
        <f>IF(AND(U9="",T14="",T18=""),"",AG5)</f>
        <v>61</v>
      </c>
      <c r="Q5" s="111">
        <f>IF(AND(U9="",T14="",T18=""),"",AP5)</f>
        <v>84</v>
      </c>
      <c r="R5" s="401">
        <f>IF(ISERROR(IF(AND(U9="",T14="",T18=""),"",SUM(AB5:AD5)+(N5-O5)/1000)+(AK5/10000)+(AG5/100000)),"",IF(AND(U9="",T14="",T18=""),"",SUM(AB5:AD5)+(N5-O5)/1000)+(AK5/10000)+(AG5/100000))</f>
        <v>1.99431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04" t="str">
        <f t="shared" si="0"/>
        <v/>
      </c>
      <c r="Y5" s="405"/>
      <c r="Z5" s="40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61</v>
      </c>
      <c r="AH5" s="10">
        <f>G9+I9+K9+M9+O9+Q9+S9</f>
        <v>26</v>
      </c>
      <c r="AI5" s="10">
        <f>F14+H14+J14+L14+N14+P14+R14</f>
        <v>0</v>
      </c>
      <c r="AJ5" s="10">
        <f>F18+H18+J18+L18+N18+P18+R18</f>
        <v>35</v>
      </c>
      <c r="AK5" s="402">
        <f t="shared" si="2"/>
        <v>-23</v>
      </c>
      <c r="AL5" s="403"/>
      <c r="AM5" s="10">
        <f>AH3</f>
        <v>42</v>
      </c>
      <c r="AN5" s="10">
        <f>AI6</f>
        <v>0</v>
      </c>
      <c r="AO5" s="10">
        <f>AJ4</f>
        <v>42</v>
      </c>
      <c r="AP5" s="9">
        <f t="shared" si="3"/>
        <v>84</v>
      </c>
    </row>
    <row r="6" spans="2:47" ht="24" customHeight="1" thickBot="1">
      <c r="B6" s="116">
        <v>4</v>
      </c>
      <c r="C6" s="407" t="str">
        <f>IF(GROUPS!H7="","",GROUPS!H7)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199</v>
      </c>
      <c r="Q7" s="127">
        <f>SUM(Q3:Q6)</f>
        <v>199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Јаков Јакимовски (538)</v>
      </c>
      <c r="D9" s="130">
        <v>3</v>
      </c>
      <c r="E9" s="131" t="str">
        <f>IF(C5="","",VLOOKUP(D9,$B$3:$E$6,2,FALSE))</f>
        <v>Филип Цековски (566)</v>
      </c>
      <c r="F9" s="132">
        <v>11</v>
      </c>
      <c r="G9" s="133">
        <v>5</v>
      </c>
      <c r="H9" s="134">
        <v>11</v>
      </c>
      <c r="I9" s="133">
        <v>8</v>
      </c>
      <c r="J9" s="132">
        <v>9</v>
      </c>
      <c r="K9" s="135">
        <v>11</v>
      </c>
      <c r="L9" s="134">
        <v>11</v>
      </c>
      <c r="M9" s="133">
        <v>2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Дамјан Петровиќ (536)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Јаков Јакимовски (538)</v>
      </c>
      <c r="D13" s="130">
        <v>2</v>
      </c>
      <c r="E13" s="131" t="str">
        <f>IF(C4="","",VLOOKUP(D13,$B$3:$E$6,2,FALSE))</f>
        <v>Дамјан Петровиќ (536)</v>
      </c>
      <c r="F13" s="132">
        <v>11</v>
      </c>
      <c r="G13" s="133">
        <v>4</v>
      </c>
      <c r="H13" s="134">
        <v>12</v>
      </c>
      <c r="I13" s="133">
        <v>10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Филип Цековски (566)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Јаков Јакимовски (538)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Филип Цековски (566)</v>
      </c>
      <c r="D18" s="140">
        <v>2</v>
      </c>
      <c r="E18" s="141" t="str">
        <f>IF(C4="","",VLOOKUP(D18,$B$3:$E$6,2,FALSE))</f>
        <v>Дамјан Петровиќ (536)</v>
      </c>
      <c r="F18" s="142">
        <v>9</v>
      </c>
      <c r="G18" s="143">
        <v>11</v>
      </c>
      <c r="H18" s="144">
        <v>6</v>
      </c>
      <c r="I18" s="143">
        <v>11</v>
      </c>
      <c r="J18" s="142">
        <v>11</v>
      </c>
      <c r="K18" s="145">
        <v>9</v>
      </c>
      <c r="L18" s="144">
        <v>9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Кристијан Каламадевски (347)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IF(GROUPS!J4="","",GROUPS!J4)</f>
        <v>Андреј Стојановски (47)</v>
      </c>
      <c r="D3" s="427"/>
      <c r="E3" s="428"/>
      <c r="F3" s="197"/>
      <c r="G3" s="103"/>
      <c r="H3" s="104">
        <f>T13</f>
        <v>2</v>
      </c>
      <c r="I3" s="105">
        <f>U13</f>
        <v>3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5</v>
      </c>
      <c r="O3" s="109">
        <f>IF(AND(T9="",T13="",T17=""),"",SUM(I3,K3,M3))</f>
        <v>3</v>
      </c>
      <c r="P3" s="110">
        <f>IF(AND(T9="",T13="",T17=""),"",AG3)</f>
        <v>74</v>
      </c>
      <c r="Q3" s="111">
        <f>IF(AND(T9="",T13="",T17=""),"",AP3)</f>
        <v>56</v>
      </c>
      <c r="R3" s="401">
        <f>IF(ISERROR(IF(AND(T9="",T13="",T17=""),"",SUM(AB3:AD3)+(N3-O3)/1000)+(AK3/10000)),"",IF(AND(T9="",T13="",T17=""),"",SUM(AB3:AD3)+(N3-O3)/1000)+(AK3/10000)+(AG3/100000))</f>
        <v>3.0045399999999995</v>
      </c>
      <c r="S3" s="401"/>
      <c r="T3" s="112">
        <f>IF(ISERROR(IF(C3="","",RANK(R3,$R$3:$S$6,0))),"",IF(C3="","",RANK(R3,$R$3:$S$6,0)))</f>
        <v>2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Андреј Стојановски (47)</v>
      </c>
      <c r="Y3" s="394"/>
      <c r="Z3" s="395"/>
      <c r="AB3" s="10">
        <f>IF(H3="","",IF(H3&gt;I3,2,1))</f>
        <v>1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74</v>
      </c>
      <c r="AH3" s="10">
        <f>F9+H9+J9+L9+N9+P9+R9</f>
        <v>33</v>
      </c>
      <c r="AI3" s="10">
        <f>F13+H13+J13+L13+N13+P13+R13</f>
        <v>41</v>
      </c>
      <c r="AJ3" s="10">
        <f>F17+H17+J17+L17+N17+P17+R17</f>
        <v>0</v>
      </c>
      <c r="AK3" s="402">
        <f>SUM(AH3:AJ3)-SUM(AM3:AO3)</f>
        <v>18</v>
      </c>
      <c r="AL3" s="403"/>
      <c r="AM3" s="10">
        <f>AH5</f>
        <v>8</v>
      </c>
      <c r="AN3" s="10">
        <f>AI4</f>
        <v>48</v>
      </c>
      <c r="AO3" s="10">
        <f>AJ6</f>
        <v>0</v>
      </c>
      <c r="AP3" s="9">
        <f>SUM(AM3:AO3)</f>
        <v>56</v>
      </c>
    </row>
    <row r="4" spans="2:47" ht="24" customHeight="1">
      <c r="B4" s="200">
        <v>2</v>
      </c>
      <c r="C4" s="427" t="str">
        <f>IF(GROUPS!J5="","",GROUPS!J5)</f>
        <v>Кристијан Каламадевски (347)</v>
      </c>
      <c r="D4" s="427"/>
      <c r="E4" s="428"/>
      <c r="F4" s="198">
        <f>U13</f>
        <v>3</v>
      </c>
      <c r="G4" s="106">
        <f>T13</f>
        <v>2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6</v>
      </c>
      <c r="O4" s="109">
        <f>IF(AND(T10="",U13="",U18=""),"",SUM(G4,K4,M4))</f>
        <v>2</v>
      </c>
      <c r="P4" s="110">
        <f>IF(AND(T10="",U13="",U18=""),"",AG4)</f>
        <v>81</v>
      </c>
      <c r="Q4" s="111">
        <f>IF(AND(T10="",U13="",U18=""),"",AP4)</f>
        <v>52</v>
      </c>
      <c r="R4" s="401">
        <f>IF(ISERROR(IF(AND(T10="",U13="",U18=""),"",SUM(AB4:AD4)+(N4-O4)/1000)+(AK4/10000)+(AG4/100000)),"",IF(AND(T10="",U13="",U18=""),"",SUM(AB4:AD4)+(N4-O4)/1000)+(AK4/10000)+(AG4/100000))</f>
        <v>4.0077100000000003</v>
      </c>
      <c r="S4" s="401"/>
      <c r="T4" s="112">
        <f>IF(ISERROR(IF(C4="","",RANK(R4,$R$3:$S$6,0))),"",IF(C4="","",RANK(R4,$R$3:$S$6,0)))</f>
        <v>1</v>
      </c>
      <c r="U4" s="9"/>
      <c r="V4" s="9"/>
      <c r="W4" s="7">
        <v>3</v>
      </c>
      <c r="X4" s="404" t="str">
        <f t="shared" si="0"/>
        <v>Павел Постоловски (706)</v>
      </c>
      <c r="Y4" s="405"/>
      <c r="Z4" s="406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81</v>
      </c>
      <c r="AH4" s="10">
        <f>F10+H10+J10+L10+N10+P10+R10</f>
        <v>0</v>
      </c>
      <c r="AI4" s="10">
        <f>G13+I13+K13+M13+O13+Q13+S13</f>
        <v>48</v>
      </c>
      <c r="AJ4" s="10">
        <f>G18+I18+K18+M18+O18+Q18+S18</f>
        <v>33</v>
      </c>
      <c r="AK4" s="402">
        <f t="shared" ref="AK4:AK6" si="2">SUM(AH4:AJ4)-SUM(AM4:AO4)</f>
        <v>29</v>
      </c>
      <c r="AL4" s="403"/>
      <c r="AM4" s="10">
        <f>AH6</f>
        <v>0</v>
      </c>
      <c r="AN4" s="10">
        <f>AI3</f>
        <v>41</v>
      </c>
      <c r="AO4" s="10">
        <f>AJ5</f>
        <v>11</v>
      </c>
      <c r="AP4" s="9">
        <f t="shared" ref="AP4:AP6" si="3">SUM(AM4:AO4)</f>
        <v>52</v>
      </c>
    </row>
    <row r="5" spans="2:47" ht="24" customHeight="1">
      <c r="B5" s="200">
        <v>3</v>
      </c>
      <c r="C5" s="427" t="str">
        <f>IF(GROUPS!J6="","",GROUPS!J6)</f>
        <v>Павел Постоловски (706)</v>
      </c>
      <c r="D5" s="427"/>
      <c r="E5" s="428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19</v>
      </c>
      <c r="Q5" s="111">
        <f>IF(AND(U9="",T14="",T18=""),"",AP5)</f>
        <v>66</v>
      </c>
      <c r="R5" s="401">
        <f>IF(ISERROR(IF(AND(U9="",T14="",T18=""),"",SUM(AB5:AD5)+(N5-O5)/1000)+(AK5/10000)+(AG5/100000)),"",IF(AND(U9="",T14="",T18=""),"",SUM(AB5:AD5)+(N5-O5)/1000)+(AK5/10000)+(AG5/100000))</f>
        <v>1.98949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04" t="str">
        <f t="shared" si="0"/>
        <v/>
      </c>
      <c r="Y5" s="405"/>
      <c r="Z5" s="40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19</v>
      </c>
      <c r="AH5" s="10">
        <f>G9+I9+K9+M9+O9+Q9+S9</f>
        <v>8</v>
      </c>
      <c r="AI5" s="10">
        <f>F14+H14+J14+L14+N14+P14+R14</f>
        <v>0</v>
      </c>
      <c r="AJ5" s="10">
        <f>F18+H18+J18+L18+N18+P18+R18</f>
        <v>11</v>
      </c>
      <c r="AK5" s="402">
        <f t="shared" si="2"/>
        <v>-47</v>
      </c>
      <c r="AL5" s="403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201">
        <v>4</v>
      </c>
      <c r="C6" s="429" t="str">
        <f>IF(GROUPS!J7="","",GROUPS!J7)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174</v>
      </c>
      <c r="Q7" s="127">
        <f>SUM(Q3:Q6)</f>
        <v>174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Андреј Стојановски (47)</v>
      </c>
      <c r="D9" s="130">
        <v>3</v>
      </c>
      <c r="E9" s="131" t="str">
        <f>IF(C5="","",VLOOKUP(D9,$B$3:$E$6,2,FALSE))</f>
        <v>Павел Постоловски (706)</v>
      </c>
      <c r="F9" s="132">
        <v>11</v>
      </c>
      <c r="G9" s="133">
        <v>4</v>
      </c>
      <c r="H9" s="134">
        <v>11</v>
      </c>
      <c r="I9" s="133">
        <v>2</v>
      </c>
      <c r="J9" s="132">
        <v>11</v>
      </c>
      <c r="K9" s="135">
        <v>2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Кристијан Каламадевски (347)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Андреј Стојановски (47)</v>
      </c>
      <c r="D13" s="130">
        <v>2</v>
      </c>
      <c r="E13" s="131" t="str">
        <f>IF(C4="","",VLOOKUP(D13,$B$3:$E$6,2,FALSE))</f>
        <v>Кристијан Каламадевски (347)</v>
      </c>
      <c r="F13" s="132">
        <v>6</v>
      </c>
      <c r="G13" s="133">
        <v>11</v>
      </c>
      <c r="H13" s="134">
        <v>7</v>
      </c>
      <c r="I13" s="133">
        <v>11</v>
      </c>
      <c r="J13" s="132">
        <v>11</v>
      </c>
      <c r="K13" s="135">
        <v>9</v>
      </c>
      <c r="L13" s="134">
        <v>11</v>
      </c>
      <c r="M13" s="133">
        <v>6</v>
      </c>
      <c r="N13" s="132">
        <v>6</v>
      </c>
      <c r="O13" s="135">
        <v>11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2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0</v>
      </c>
      <c r="AK13" s="10">
        <f>IF(O13="","",IF(O13&gt;N13,1,0))</f>
        <v>1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Павел Постоловски (706)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Андреј Стојановски (47)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Павел Постоловски (706)</v>
      </c>
      <c r="D18" s="140">
        <v>2</v>
      </c>
      <c r="E18" s="141" t="str">
        <f>IF(C4="","",VLOOKUP(D18,$B$3:$E$6,2,FALSE))</f>
        <v>Кристијан Каламадевски (347)</v>
      </c>
      <c r="F18" s="142">
        <v>3</v>
      </c>
      <c r="G18" s="143">
        <v>11</v>
      </c>
      <c r="H18" s="144">
        <v>4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Дарко Китановски (499)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IF(GROUPS!D9="","",GROUPS!D9)</f>
        <v>Дарко Китановски (499)</v>
      </c>
      <c r="D3" s="427"/>
      <c r="E3" s="428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25</v>
      </c>
      <c r="R3" s="401">
        <f>IF(ISERROR(IF(AND(T9="",T13="",T17=""),"",SUM(AB3:AD3)+(N3-O3)/1000)+(AK3/10000)),"",IF(AND(T9="",T13="",T17=""),"",SUM(AB3:AD3)+(N3-O3)/1000)+(AK3/10000)+(AG3/100000))</f>
        <v>4.0107600000000003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Димитар Парасков (560)</v>
      </c>
      <c r="Y3" s="394"/>
      <c r="Z3" s="395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02">
        <f>SUM(AH3:AJ3)-SUM(AM3:AO3)</f>
        <v>41</v>
      </c>
      <c r="AL3" s="403"/>
      <c r="AM3" s="10">
        <f>AH5</f>
        <v>25</v>
      </c>
      <c r="AN3" s="10">
        <f>AI4</f>
        <v>0</v>
      </c>
      <c r="AO3" s="10">
        <f>AJ6</f>
        <v>0</v>
      </c>
      <c r="AP3" s="9">
        <f>SUM(AM3:AO3)</f>
        <v>25</v>
      </c>
    </row>
    <row r="4" spans="2:47" ht="24" customHeight="1">
      <c r="B4" s="200">
        <v>2</v>
      </c>
      <c r="C4" s="427" t="str">
        <f>IF(GROUPS!D10="","",GROUPS!D10)</f>
        <v>Давид Јоноски (287)</v>
      </c>
      <c r="D4" s="427"/>
      <c r="E4" s="428"/>
      <c r="F4" s="198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0</v>
      </c>
      <c r="O4" s="109">
        <f>IF(AND(T10="",U13="",U18=""),"",SUM(G4,K4,M4))</f>
        <v>6</v>
      </c>
      <c r="P4" s="110">
        <f>IF(AND(T10="",U13="",U18=""),"",AG4)</f>
        <v>0</v>
      </c>
      <c r="Q4" s="111">
        <f>IF(AND(T10="",U13="",U18=""),"",AP4)</f>
        <v>66</v>
      </c>
      <c r="R4" s="401">
        <f>IF(ISERROR(IF(AND(T10="",U13="",U18=""),"",SUM(AB4:AD4)+(N4-O4)/1000)+(AK4/10000)+(AG4/100000)),"",IF(AND(T10="",U13="",U18=""),"",SUM(AB4:AD4)+(N4-O4)/1000)+(AK4/10000)+(AG4/100000))</f>
        <v>1.9874000000000001</v>
      </c>
      <c r="S4" s="401"/>
      <c r="T4" s="112">
        <f>IF(ISERROR(IF(C4="","",RANK(R4,$R$3:$S$6,0))),"",IF(C4="","",RANK(R4,$R$3:$S$6,0)))</f>
        <v>3</v>
      </c>
      <c r="U4" s="9"/>
      <c r="V4" s="9"/>
      <c r="W4" s="7">
        <v>3</v>
      </c>
      <c r="X4" s="404" t="str">
        <f t="shared" si="0"/>
        <v>Давид Јоноски (287)</v>
      </c>
      <c r="Y4" s="405"/>
      <c r="Z4" s="406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-66</v>
      </c>
      <c r="AL4" s="403"/>
      <c r="AM4" s="10">
        <f>AH6</f>
        <v>0</v>
      </c>
      <c r="AN4" s="10">
        <f>AI3</f>
        <v>33</v>
      </c>
      <c r="AO4" s="10">
        <f>AJ5</f>
        <v>33</v>
      </c>
      <c r="AP4" s="9">
        <f t="shared" ref="AP4:AP6" si="3">SUM(AM4:AO4)</f>
        <v>66</v>
      </c>
    </row>
    <row r="5" spans="2:47" ht="24" customHeight="1">
      <c r="B5" s="200">
        <v>3</v>
      </c>
      <c r="C5" s="427" t="str">
        <f>IF(GROUPS!D11="","",GROUPS!D11)</f>
        <v>Димитар Парасков (560)</v>
      </c>
      <c r="D5" s="427"/>
      <c r="E5" s="428"/>
      <c r="F5" s="198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3</v>
      </c>
      <c r="P5" s="110">
        <f>IF(AND(U9="",T14="",T18=""),"",AG5)</f>
        <v>58</v>
      </c>
      <c r="Q5" s="111">
        <f>IF(AND(U9="",T14="",T18=""),"",AP5)</f>
        <v>33</v>
      </c>
      <c r="R5" s="401">
        <f>IF(ISERROR(IF(AND(U9="",T14="",T18=""),"",SUM(AB5:AD5)+(N5-O5)/1000)+(AK5/10000)+(AG5/100000)),"",IF(AND(U9="",T14="",T18=""),"",SUM(AB5:AD5)+(N5-O5)/1000)+(AK5/10000)+(AG5/100000))</f>
        <v>3.0030799999999997</v>
      </c>
      <c r="S5" s="401"/>
      <c r="T5" s="112">
        <f>IF(ISERROR(IF(C5="","",RANK(R5,$R$3:$S$6,0))),"",IF(C5="","",RANK(R5,$R$3:$S$6,0)))</f>
        <v>2</v>
      </c>
      <c r="U5" s="9"/>
      <c r="V5" s="9"/>
      <c r="W5" s="7">
        <v>4</v>
      </c>
      <c r="X5" s="404" t="str">
        <f t="shared" si="0"/>
        <v/>
      </c>
      <c r="Y5" s="405"/>
      <c r="Z5" s="406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58</v>
      </c>
      <c r="AH5" s="10">
        <f>G9+I9+K9+M9+O9+Q9+S9</f>
        <v>25</v>
      </c>
      <c r="AI5" s="10">
        <f>F14+H14+J14+L14+N14+P14+R14</f>
        <v>0</v>
      </c>
      <c r="AJ5" s="10">
        <f>F18+H18+J18+L18+N18+P18+R18</f>
        <v>33</v>
      </c>
      <c r="AK5" s="402">
        <f t="shared" si="2"/>
        <v>25</v>
      </c>
      <c r="AL5" s="403"/>
      <c r="AM5" s="10">
        <f>AH3</f>
        <v>33</v>
      </c>
      <c r="AN5" s="10">
        <f>AI6</f>
        <v>0</v>
      </c>
      <c r="AO5" s="10">
        <f>AJ4</f>
        <v>0</v>
      </c>
      <c r="AP5" s="9">
        <f t="shared" si="3"/>
        <v>33</v>
      </c>
    </row>
    <row r="6" spans="2:47" ht="24" customHeight="1" thickBot="1">
      <c r="B6" s="201">
        <v>4</v>
      </c>
      <c r="C6" s="429" t="str">
        <f>IF(GROUPS!D12="","",GROUPS!D12)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124</v>
      </c>
      <c r="Q7" s="127">
        <f>SUM(Q3:Q6)</f>
        <v>124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Дарко Китановски (499)</v>
      </c>
      <c r="D9" s="130">
        <v>3</v>
      </c>
      <c r="E9" s="131" t="str">
        <f>IF(C5="","",VLOOKUP(D9,$B$3:$E$6,2,FALSE))</f>
        <v>Димитар Парасков (560)</v>
      </c>
      <c r="F9" s="132">
        <v>11</v>
      </c>
      <c r="G9" s="133">
        <v>9</v>
      </c>
      <c r="H9" s="134">
        <v>11</v>
      </c>
      <c r="I9" s="133">
        <v>7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Давид Јоноски (287)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Дарко Китановски (499)</v>
      </c>
      <c r="D13" s="130">
        <v>2</v>
      </c>
      <c r="E13" s="131" t="str">
        <f>IF(C4="","",VLOOKUP(D13,$B$3:$E$6,2,FALSE))</f>
        <v>Давид Јоноски (287)</v>
      </c>
      <c r="F13" s="132">
        <v>11</v>
      </c>
      <c r="G13" s="133">
        <v>0</v>
      </c>
      <c r="H13" s="134">
        <v>11</v>
      </c>
      <c r="I13" s="133">
        <v>0</v>
      </c>
      <c r="J13" s="132">
        <v>11</v>
      </c>
      <c r="K13" s="135">
        <v>0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Димитар Парасков (560)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Дарко Китановски (499)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Димитар Парасков (560)</v>
      </c>
      <c r="D18" s="140">
        <v>2</v>
      </c>
      <c r="E18" s="141" t="str">
        <f>IF(C4="","",VLOOKUP(D18,$B$3:$E$6,2,FALSE))</f>
        <v>Давид Јоноски (287)</v>
      </c>
      <c r="F18" s="142">
        <v>11</v>
      </c>
      <c r="G18" s="143">
        <v>0</v>
      </c>
      <c r="H18" s="144">
        <v>11</v>
      </c>
      <c r="I18" s="143">
        <v>0</v>
      </c>
      <c r="J18" s="142">
        <v>11</v>
      </c>
      <c r="K18" s="145">
        <v>0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2026-03-07T20:09:03Z</dcterms:modified>
</cp:coreProperties>
</file>