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302A3483-E231-4FB6-82E7-2B00890901FA}" xr6:coauthVersionLast="47" xr6:coauthVersionMax="47" xr10:uidLastSave="{00000000-0000-0000-0000-000000000000}"/>
  <bookViews>
    <workbookView xWindow="-120" yWindow="-120" windowWidth="29040" windowHeight="15840" tabRatio="926" activeTab="24" xr2:uid="{00000000-000D-0000-FFFF-FFFF00000000}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r:id="rId8"/>
    <sheet name="V" sheetId="7" r:id="rId9"/>
    <sheet name="VI" sheetId="8" r:id="rId10"/>
    <sheet name="VII" sheetId="9" r:id="rId11"/>
    <sheet name="VIII" sheetId="10" r:id="rId12"/>
    <sheet name="IX" sheetId="38" r:id="rId13"/>
    <sheet name="X" sheetId="39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state="hidden" r:id="rId21"/>
    <sheet name="KO8(4 G)" sheetId="49" state="hidden" r:id="rId22"/>
    <sheet name="KO12(6 G)" sheetId="26" state="hidden" r:id="rId23"/>
    <sheet name="KO16(8 G)" sheetId="25" state="hidden" r:id="rId24"/>
    <sheet name="KO 20(10 G)" sheetId="48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K5" i="19" l="1"/>
  <c r="K20" i="19"/>
  <c r="K15" i="19"/>
  <c r="K25" i="19"/>
  <c r="K11" i="19"/>
  <c r="K7" i="19"/>
  <c r="K26" i="19"/>
  <c r="K27" i="19"/>
  <c r="K18" i="19"/>
  <c r="K9" i="19"/>
  <c r="K4" i="19"/>
  <c r="K13" i="19"/>
  <c r="K6" i="19"/>
  <c r="K12" i="19"/>
  <c r="K28" i="19"/>
  <c r="K22" i="19"/>
  <c r="K23" i="19"/>
  <c r="K29" i="19"/>
  <c r="K14" i="19"/>
  <c r="K21" i="19"/>
  <c r="K24" i="19"/>
  <c r="K10" i="19"/>
  <c r="K16" i="19"/>
  <c r="K30" i="19"/>
  <c r="K3" i="19"/>
  <c r="K19" i="19"/>
  <c r="K31" i="19"/>
  <c r="K32" i="19"/>
  <c r="K17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8" i="19"/>
  <c r="J8" i="19"/>
  <c r="I8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6" i="49" l="1"/>
  <c r="AB25" i="49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Z47" i="48"/>
  <c r="Z46" i="48"/>
  <c r="AJ44" i="48"/>
  <c r="AJ43" i="48"/>
  <c r="P42" i="48"/>
  <c r="Z41" i="48"/>
  <c r="P41" i="48"/>
  <c r="Z40" i="48"/>
  <c r="AT38" i="48"/>
  <c r="AT37" i="48"/>
  <c r="BE35" i="48"/>
  <c r="BG31" i="48" s="1"/>
  <c r="Z35" i="48"/>
  <c r="BE34" i="48"/>
  <c r="BH30" i="48" s="1"/>
  <c r="Z34" i="48"/>
  <c r="AJ32" i="48"/>
  <c r="AJ31" i="48"/>
  <c r="P30" i="48"/>
  <c r="Z29" i="48"/>
  <c r="P29" i="48"/>
  <c r="Z28" i="48"/>
  <c r="BE26" i="48"/>
  <c r="BE25" i="48"/>
  <c r="Z23" i="48"/>
  <c r="Z22" i="48"/>
  <c r="AJ20" i="48"/>
  <c r="AJ19" i="48"/>
  <c r="P18" i="48"/>
  <c r="Z17" i="48"/>
  <c r="P17" i="48"/>
  <c r="Z16" i="48"/>
  <c r="AT14" i="48"/>
  <c r="AT13" i="48"/>
  <c r="Z11" i="48"/>
  <c r="Z10" i="48"/>
  <c r="AJ8" i="48"/>
  <c r="AJ7" i="48"/>
  <c r="P6" i="48"/>
  <c r="Z5" i="48"/>
  <c r="P5" i="48"/>
  <c r="Z4" i="48"/>
  <c r="BH31" i="48" l="1"/>
  <c r="BI43" i="48"/>
  <c r="O44" i="47"/>
  <c r="Y38" i="47"/>
  <c r="Y37" i="47"/>
  <c r="AN35" i="47"/>
  <c r="AJ35" i="47"/>
  <c r="AL31" i="47" s="1"/>
  <c r="AJ34" i="47"/>
  <c r="AM30" i="47" s="1"/>
  <c r="O32" i="47"/>
  <c r="O31" i="47"/>
  <c r="AJ26" i="47"/>
  <c r="AJ25" i="47"/>
  <c r="O20" i="47"/>
  <c r="O19" i="47"/>
  <c r="Y14" i="47"/>
  <c r="Y13" i="47"/>
  <c r="O7" i="47"/>
  <c r="AN32" i="47" s="1"/>
  <c r="AM31" i="47" l="1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20" i="19"/>
  <c r="J15" i="19"/>
  <c r="J25" i="19"/>
  <c r="J11" i="19"/>
  <c r="J7" i="19"/>
  <c r="J26" i="19"/>
  <c r="J27" i="19"/>
  <c r="J18" i="19"/>
  <c r="J9" i="19"/>
  <c r="J4" i="19"/>
  <c r="J13" i="19"/>
  <c r="J6" i="19"/>
  <c r="J12" i="19"/>
  <c r="J28" i="19"/>
  <c r="J22" i="19"/>
  <c r="J23" i="19"/>
  <c r="J29" i="19"/>
  <c r="J14" i="19"/>
  <c r="J21" i="19"/>
  <c r="J24" i="19"/>
  <c r="J10" i="19"/>
  <c r="J16" i="19"/>
  <c r="J30" i="19"/>
  <c r="J3" i="19"/>
  <c r="J19" i="19"/>
  <c r="J31" i="19"/>
  <c r="J32" i="19"/>
  <c r="J17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5" i="19"/>
  <c r="I5" i="19"/>
  <c r="I20" i="19"/>
  <c r="I15" i="19"/>
  <c r="I25" i="19"/>
  <c r="I11" i="19"/>
  <c r="I7" i="19"/>
  <c r="I26" i="19"/>
  <c r="I27" i="19"/>
  <c r="I18" i="19"/>
  <c r="D10" i="19" s="1"/>
  <c r="I9" i="19"/>
  <c r="I4" i="19"/>
  <c r="I13" i="19"/>
  <c r="I6" i="19"/>
  <c r="I12" i="19"/>
  <c r="I28" i="19"/>
  <c r="I22" i="19"/>
  <c r="I23" i="19"/>
  <c r="I29" i="19"/>
  <c r="I14" i="19"/>
  <c r="I21" i="19"/>
  <c r="I24" i="19"/>
  <c r="I10" i="19"/>
  <c r="I16" i="19"/>
  <c r="I30" i="19"/>
  <c r="I3" i="19"/>
  <c r="I19" i="19"/>
  <c r="I31" i="19"/>
  <c r="I32" i="19"/>
  <c r="I17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AM4" i="43" s="1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O3" i="40" s="1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I6" i="39"/>
  <c r="Q5" i="39"/>
  <c r="AJ6" i="39"/>
  <c r="AO3" i="39" s="1"/>
  <c r="AI6" i="39"/>
  <c r="AN5" i="39" s="1"/>
  <c r="AH6" i="39"/>
  <c r="Q6" i="39"/>
  <c r="P6" i="39"/>
  <c r="N6" i="39"/>
  <c r="K6" i="39"/>
  <c r="J6" i="39"/>
  <c r="AD6" i="39" s="1"/>
  <c r="H6" i="39"/>
  <c r="AC6" i="39" s="1"/>
  <c r="F6" i="39"/>
  <c r="AB6" i="39" s="1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M4" i="39"/>
  <c r="L4" i="39"/>
  <c r="AD4" i="39" s="1"/>
  <c r="J4" i="39"/>
  <c r="AC4" i="39" s="1"/>
  <c r="G4" i="39"/>
  <c r="F4" i="39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B3" i="39" l="1"/>
  <c r="AB4" i="39"/>
  <c r="R4" i="43"/>
  <c r="AK5" i="43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Q3" i="39" s="1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P4" i="39" s="1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G5" i="39"/>
  <c r="O6" i="39"/>
  <c r="AG6" i="39"/>
  <c r="AK3" i="39"/>
  <c r="N3" i="39"/>
  <c r="O3" i="39"/>
  <c r="AM4" i="39"/>
  <c r="AP4" i="39" s="1"/>
  <c r="Q4" i="39" s="1"/>
  <c r="AG3" i="39"/>
  <c r="P3" i="39" s="1"/>
  <c r="N4" i="39"/>
  <c r="O4" i="39"/>
  <c r="G6" i="38"/>
  <c r="K6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M5" i="38"/>
  <c r="L5" i="38"/>
  <c r="AD5" i="38" s="1"/>
  <c r="I5" i="38"/>
  <c r="F5" i="38"/>
  <c r="AJ4" i="38"/>
  <c r="AO5" i="38" s="1"/>
  <c r="AI4" i="38"/>
  <c r="AH4" i="38"/>
  <c r="AM6" i="38" s="1"/>
  <c r="M4" i="38"/>
  <c r="J4" i="38"/>
  <c r="G4" i="38"/>
  <c r="F4" i="38"/>
  <c r="AJ3" i="38"/>
  <c r="AO6" i="38" s="1"/>
  <c r="AI3" i="38"/>
  <c r="AN4" i="38" s="1"/>
  <c r="AH3" i="38"/>
  <c r="AM5" i="38" s="1"/>
  <c r="M3" i="38"/>
  <c r="L3" i="38"/>
  <c r="AD3" i="38" s="1"/>
  <c r="K3" i="38"/>
  <c r="J3" i="38"/>
  <c r="I3" i="38"/>
  <c r="H3" i="38"/>
  <c r="AB3" i="38" l="1"/>
  <c r="AB4" i="38"/>
  <c r="AC3" i="38"/>
  <c r="R3" i="39"/>
  <c r="P7" i="39"/>
  <c r="Q7" i="39"/>
  <c r="R5" i="39"/>
  <c r="P7" i="40"/>
  <c r="R5" i="40"/>
  <c r="AK3" i="41"/>
  <c r="R3" i="41" s="1"/>
  <c r="AG5" i="38"/>
  <c r="P5" i="38" s="1"/>
  <c r="AK6" i="40"/>
  <c r="AG4" i="38"/>
  <c r="P4" i="38" s="1"/>
  <c r="R6" i="39"/>
  <c r="R5" i="45"/>
  <c r="R5" i="41"/>
  <c r="R6" i="40"/>
  <c r="AK4" i="39"/>
  <c r="R4" i="39" s="1"/>
  <c r="AM3" i="38"/>
  <c r="AP4" i="38"/>
  <c r="Q4" i="38" s="1"/>
  <c r="AK6" i="38"/>
  <c r="AK4" i="41"/>
  <c r="R4" i="41" s="1"/>
  <c r="AP4" i="41"/>
  <c r="AK4" i="40"/>
  <c r="R4" i="40" s="1"/>
  <c r="AP6" i="38"/>
  <c r="AK5" i="38"/>
  <c r="AP5" i="38"/>
  <c r="Q5" i="38" s="1"/>
  <c r="K4" i="38"/>
  <c r="AC4" i="38" s="1"/>
  <c r="G5" i="38"/>
  <c r="AB5" i="38" s="1"/>
  <c r="AG6" i="38"/>
  <c r="AK4" i="38"/>
  <c r="H5" i="38"/>
  <c r="O3" i="38"/>
  <c r="N3" i="38"/>
  <c r="AN3" i="38"/>
  <c r="L4" i="38"/>
  <c r="AD4" i="38" s="1"/>
  <c r="AG3" i="38"/>
  <c r="P3" i="38" s="1"/>
  <c r="O4" i="38"/>
  <c r="I6" i="38"/>
  <c r="O5" i="38"/>
  <c r="G6" i="10"/>
  <c r="K6" i="10"/>
  <c r="G4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J4" i="10"/>
  <c r="AO5" i="10" s="1"/>
  <c r="AI4" i="10"/>
  <c r="AH4" i="10"/>
  <c r="AM6" i="10" s="1"/>
  <c r="M4" i="10"/>
  <c r="J4" i="10"/>
  <c r="F4" i="10"/>
  <c r="AJ3" i="10"/>
  <c r="AO6" i="10" s="1"/>
  <c r="AI3" i="10"/>
  <c r="AN4" i="10" s="1"/>
  <c r="AH3" i="10"/>
  <c r="AM5" i="10" s="1"/>
  <c r="M3" i="10"/>
  <c r="L3" i="10"/>
  <c r="AD3" i="10" s="1"/>
  <c r="K3" i="10"/>
  <c r="J3" i="10"/>
  <c r="I3" i="10"/>
  <c r="H3" i="10"/>
  <c r="O6" i="9"/>
  <c r="L3" i="9"/>
  <c r="AD3" i="9" s="1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N4" i="38" l="1"/>
  <c r="R4" i="38" s="1"/>
  <c r="O4" i="9"/>
  <c r="AB3" i="10"/>
  <c r="O3" i="10"/>
  <c r="AB4" i="10"/>
  <c r="N3" i="10"/>
  <c r="AC3" i="10"/>
  <c r="AC5" i="38"/>
  <c r="N5" i="38"/>
  <c r="P7" i="38"/>
  <c r="AB3" i="7"/>
  <c r="AC6" i="24"/>
  <c r="AD5" i="24"/>
  <c r="O5" i="5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Q3" i="38" s="1"/>
  <c r="Q7" i="38" s="1"/>
  <c r="AP6" i="5"/>
  <c r="AG3" i="7"/>
  <c r="AG3" i="6"/>
  <c r="P3" i="6" s="1"/>
  <c r="AP6" i="6"/>
  <c r="AG4" i="10"/>
  <c r="P4" i="10" s="1"/>
  <c r="AO4" i="10"/>
  <c r="AP4" i="10" s="1"/>
  <c r="Q4" i="10" s="1"/>
  <c r="AK6" i="9"/>
  <c r="AP5" i="9"/>
  <c r="AP3" i="9"/>
  <c r="Q3" i="9" s="1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L5" i="10"/>
  <c r="M5" i="10"/>
  <c r="AK5" i="10"/>
  <c r="AP5" i="10"/>
  <c r="Q5" i="10" s="1"/>
  <c r="K4" i="10"/>
  <c r="AC4" i="10" s="1"/>
  <c r="G5" i="10"/>
  <c r="AB5" i="10" s="1"/>
  <c r="O6" i="10"/>
  <c r="AG6" i="10"/>
  <c r="AN3" i="10"/>
  <c r="L4" i="10"/>
  <c r="AD4" i="10" s="1"/>
  <c r="H5" i="10"/>
  <c r="AC5" i="10" s="1"/>
  <c r="AO3" i="10"/>
  <c r="AG3" i="10"/>
  <c r="P3" i="10" s="1"/>
  <c r="N4" i="10"/>
  <c r="I6" i="10"/>
  <c r="AG4" i="8"/>
  <c r="P4" i="8" s="1"/>
  <c r="AG4" i="9"/>
  <c r="P4" i="9" s="1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P3" i="9" s="1"/>
  <c r="AK5" i="9"/>
  <c r="R5" i="9" s="1"/>
  <c r="AM4" i="9"/>
  <c r="I3" i="9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N3" i="7" s="1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3" i="9" l="1"/>
  <c r="O4" i="10"/>
  <c r="N5" i="10"/>
  <c r="O5" i="10"/>
  <c r="R5" i="38"/>
  <c r="N4" i="9"/>
  <c r="O4" i="24"/>
  <c r="AD3" i="24"/>
  <c r="N6" i="24"/>
  <c r="N4" i="24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6" i="10"/>
  <c r="L4" i="37"/>
  <c r="AD4" i="37" s="1"/>
  <c r="K6" i="37"/>
  <c r="P7" i="6"/>
  <c r="R6" i="24"/>
  <c r="AC6" i="6"/>
  <c r="R6" i="6" s="1"/>
  <c r="P7" i="10"/>
  <c r="AD5" i="10"/>
  <c r="AP3" i="10"/>
  <c r="Q3" i="10" s="1"/>
  <c r="Q7" i="10" s="1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5" i="10" l="1"/>
  <c r="R4" i="10"/>
  <c r="R3" i="7"/>
  <c r="R4" i="24"/>
  <c r="R3" i="24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8" i="19"/>
  <c r="D45" i="36" l="1"/>
  <c r="D46" i="36"/>
  <c r="D38" i="36"/>
  <c r="D37" i="36"/>
  <c r="D4" i="1"/>
  <c r="C3" i="37" s="1"/>
  <c r="M11" i="19"/>
  <c r="M7" i="19"/>
  <c r="M26" i="19"/>
  <c r="M27" i="19"/>
  <c r="M18" i="19"/>
  <c r="M9" i="19"/>
  <c r="M4" i="19"/>
  <c r="M13" i="19"/>
  <c r="M6" i="19"/>
  <c r="M12" i="19"/>
  <c r="M28" i="19"/>
  <c r="M22" i="19"/>
  <c r="M23" i="19"/>
  <c r="M29" i="19"/>
  <c r="M14" i="19"/>
  <c r="M21" i="19"/>
  <c r="M24" i="19"/>
  <c r="M10" i="19"/>
  <c r="M16" i="19"/>
  <c r="M30" i="19"/>
  <c r="M3" i="19"/>
  <c r="M19" i="19"/>
  <c r="M31" i="19"/>
  <c r="M32" i="19"/>
  <c r="M17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5" i="19"/>
  <c r="M20" i="19"/>
  <c r="M15" i="19"/>
  <c r="M25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H39" i="48" s="1"/>
  <c r="R40" i="48" s="1"/>
  <c r="AB43" i="48" s="1"/>
  <c r="BI35" i="48" s="1"/>
  <c r="D12" i="36"/>
  <c r="D12" i="48"/>
  <c r="H6" i="48" s="1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H29" i="48" s="1"/>
  <c r="R29" i="48" s="1"/>
  <c r="BI40" i="48" s="1"/>
  <c r="D3" i="49"/>
  <c r="G7" i="49" s="1"/>
  <c r="D3" i="48"/>
  <c r="H3" i="48" s="1"/>
  <c r="R4" i="48" s="1"/>
  <c r="AB7" i="48" s="1"/>
  <c r="AL13" i="48" s="1"/>
  <c r="AW25" i="48" s="1"/>
  <c r="D4" i="36"/>
  <c r="D4" i="47"/>
  <c r="G32" i="47" s="1"/>
  <c r="D3" i="36"/>
  <c r="D3" i="47"/>
  <c r="G7" i="47" s="1"/>
  <c r="Q13" i="47" s="1"/>
  <c r="AB34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BI15" i="48" l="1"/>
  <c r="BI28" i="48"/>
  <c r="AO16" i="47"/>
  <c r="AN30" i="47"/>
  <c r="AN31" i="47"/>
  <c r="AO19" i="47"/>
  <c r="G5" i="26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H45" i="48" s="1"/>
  <c r="D5" i="49"/>
  <c r="G44" i="49" s="1"/>
  <c r="D5" i="48"/>
  <c r="D13" i="36"/>
  <c r="D13" i="48"/>
  <c r="H15" i="48" s="1"/>
  <c r="R16" i="48" s="1"/>
  <c r="AB19" i="48" s="1"/>
  <c r="BI33" i="48" s="1"/>
  <c r="D6" i="49"/>
  <c r="D6" i="48"/>
  <c r="H21" i="48" s="1"/>
  <c r="R22" i="48" s="1"/>
  <c r="BI39" i="48" s="1"/>
  <c r="D5" i="36"/>
  <c r="D5" i="47"/>
  <c r="G44" i="47" s="1"/>
  <c r="Q38" i="47" s="1"/>
  <c r="AB26" i="47" s="1"/>
  <c r="D6" i="36"/>
  <c r="D6" i="47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H48" i="48" l="1"/>
  <c r="R47" i="48" s="1"/>
  <c r="AB44" i="48" s="1"/>
  <c r="AL38" i="48" s="1"/>
  <c r="AW26" i="48" s="1"/>
  <c r="AN15" i="47"/>
  <c r="AN28" i="47"/>
  <c r="E13" i="44"/>
  <c r="C10" i="44"/>
  <c r="T4" i="44"/>
  <c r="D10" i="36"/>
  <c r="D10" i="49"/>
  <c r="D10" i="48"/>
  <c r="H42" i="48" s="1"/>
  <c r="D16" i="36"/>
  <c r="D16" i="48"/>
  <c r="H30" i="48" s="1"/>
  <c r="D8" i="49"/>
  <c r="D8" i="48"/>
  <c r="H18" i="48" s="1"/>
  <c r="R17" i="48" s="1"/>
  <c r="BI38" i="48" s="1"/>
  <c r="D9" i="36"/>
  <c r="D9" i="49"/>
  <c r="D9" i="48"/>
  <c r="H24" i="48" s="1"/>
  <c r="R23" i="48" s="1"/>
  <c r="AB20" i="48" s="1"/>
  <c r="AL14" i="48" s="1"/>
  <c r="AW34" i="48" s="1"/>
  <c r="D15" i="36"/>
  <c r="D15" i="48"/>
  <c r="H12" i="48" s="1"/>
  <c r="R11" i="48" s="1"/>
  <c r="BI37" i="48" s="1"/>
  <c r="D7" i="49"/>
  <c r="D7" i="48"/>
  <c r="H27" i="48" s="1"/>
  <c r="R28" i="48" s="1"/>
  <c r="AB31" i="48" s="1"/>
  <c r="BI34" i="48" s="1"/>
  <c r="D8" i="36"/>
  <c r="D8" i="47"/>
  <c r="G20" i="47" s="1"/>
  <c r="Q14" i="47" s="1"/>
  <c r="AB25" i="47" s="1"/>
  <c r="D7" i="36"/>
  <c r="D7" i="47"/>
  <c r="X5" i="40"/>
  <c r="X4" i="40"/>
  <c r="X2" i="40"/>
  <c r="X3" i="40"/>
  <c r="X2" i="39"/>
  <c r="D21" i="48" s="1"/>
  <c r="H33" i="48" s="1"/>
  <c r="R34" i="48" s="1"/>
  <c r="BI41" i="48" s="1"/>
  <c r="X3" i="39"/>
  <c r="D22" i="48" s="1"/>
  <c r="H5" i="48" s="1"/>
  <c r="R5" i="48" s="1"/>
  <c r="BI36" i="48" s="1"/>
  <c r="X5" i="39"/>
  <c r="X4" i="39"/>
  <c r="X2" i="41"/>
  <c r="X3" i="41"/>
  <c r="X4" i="41"/>
  <c r="X5" i="41"/>
  <c r="X3" i="10"/>
  <c r="X2" i="10"/>
  <c r="D17" i="48" s="1"/>
  <c r="H36" i="48" s="1"/>
  <c r="R35" i="48" s="1"/>
  <c r="AB32" i="48" s="1"/>
  <c r="AL37" i="48" s="1"/>
  <c r="AW35" i="48" s="1"/>
  <c r="X4" i="10"/>
  <c r="X5" i="10"/>
  <c r="X2" i="38"/>
  <c r="D19" i="48" s="1"/>
  <c r="H9" i="48" s="1"/>
  <c r="R10" i="48" s="1"/>
  <c r="AB8" i="48" s="1"/>
  <c r="BI32" i="48" s="1"/>
  <c r="X4" i="38"/>
  <c r="X5" i="38"/>
  <c r="X3" i="38"/>
  <c r="D20" i="48" s="1"/>
  <c r="H41" i="48" s="1"/>
  <c r="R41" i="48" s="1"/>
  <c r="BI42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BJ19" i="48" l="1"/>
  <c r="BI31" i="48"/>
  <c r="BH16" i="48"/>
  <c r="BI29" i="48"/>
  <c r="BJ16" i="48"/>
  <c r="BI30" i="48"/>
  <c r="G31" i="47"/>
  <c r="G19" i="47"/>
  <c r="AN33" i="47" s="1"/>
  <c r="AN29" i="47"/>
  <c r="AM16" i="47"/>
  <c r="E14" i="45"/>
  <c r="T4" i="45"/>
  <c r="C10" i="45"/>
  <c r="C18" i="43"/>
  <c r="T5" i="43"/>
  <c r="E9" i="43"/>
  <c r="E17" i="43"/>
  <c r="T6" i="43"/>
  <c r="E14" i="43"/>
  <c r="E10" i="43"/>
  <c r="D18" i="36"/>
  <c r="D18" i="48"/>
  <c r="H17" i="48" s="1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AN34" i="47" l="1"/>
  <c r="Q37" i="47"/>
  <c r="AB35" i="47" s="1"/>
  <c r="C18" i="44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Q44" i="26" l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<sst xmlns="http://schemas.openxmlformats.org/spreadsheetml/2006/main" count="2514" uniqueCount="847">
  <si>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</si>
  <si>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</si>
  <si>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</si>
  <si>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</si>
  <si>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</si>
  <si>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</si>
  <si>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</si>
  <si>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</si>
  <si>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</si>
  <si>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</si>
  <si>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</si>
  <si>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</si>
  <si>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</si>
  <si>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</si>
  <si>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</si>
  <si>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</si>
  <si>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</si>
  <si>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</si>
  <si>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</si>
  <si>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</si>
  <si>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</si>
  <si>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</si>
  <si>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</si>
  <si>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</si>
  <si>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</si>
  <si>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</si>
  <si>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</si>
  <si>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</si>
  <si>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</si>
  <si>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</si>
  <si>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</si>
  <si>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</si>
  <si>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</si>
  <si>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</si>
  <si>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</si>
  <si>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</si>
  <si>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</si>
  <si>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</si>
  <si>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</si>
  <si>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</si>
  <si>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</si>
  <si>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</si>
  <si>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</si>
  <si>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</si>
  <si>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</si>
  <si>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</si>
  <si>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</si>
  <si>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</si>
  <si>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</si>
  <si>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</si>
  <si>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</si>
  <si>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</si>
  <si>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</si>
  <si>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</si>
  <si>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</si>
  <si>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</si>
  <si>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</si>
  <si>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</si>
  <si>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</si>
  <si>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</si>
  <si>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</si>
  <si>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</si>
  <si>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</si>
  <si>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</si>
  <si>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</si>
  <si>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</si>
  <si>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</si>
  <si>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</si>
  <si>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</si>
  <si>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</si>
  <si>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</si>
  <si>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</si>
  <si>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</si>
  <si>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</si>
  <si>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</si>
  <si>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</si>
  <si>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</si>
  <si>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</si>
  <si>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</si>
  <si>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</si>
  <si>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</si>
  <si>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</si>
  <si>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</si>
  <si>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</si>
  <si>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</si>
  <si>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</si>
  <si>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</si>
  <si>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</si>
  <si>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</si>
  <si>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</si>
  <si>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</si>
  <si>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</si>
  <si>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</si>
  <si>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</si>
  <si>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</si>
  <si>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</si>
  <si>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</si>
  <si>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</si>
  <si>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</si>
  <si>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</si>
  <si>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</si>
  <si>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</si>
  <si>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</si>
  <si>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</si>
  <si>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</si>
  <si>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</si>
  <si>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</si>
  <si>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</si>
  <si>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</si>
  <si>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</si>
  <si>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</si>
  <si>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</si>
  <si>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</si>
  <si>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</si>
  <si>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</si>
  <si>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</si>
  <si>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</si>
  <si>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</si>
  <si>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</si>
  <si>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</si>
  <si>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</si>
  <si>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</si>
  <si>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</si>
  <si>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</si>
  <si>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</si>
  <si>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</si>
  <si>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</si>
  <si>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</si>
  <si>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</si>
  <si>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</si>
  <si>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</si>
  <si>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</si>
  <si>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</si>
  <si>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</si>
  <si>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</si>
  <si>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</si>
  <si>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</si>
  <si>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</si>
  <si>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</si>
  <si>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</si>
  <si>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</si>
  <si>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</si>
  <si>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</si>
  <si>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</si>
  <si>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</si>
  <si>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</si>
  <si>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</si>
  <si>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</si>
  <si>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</si>
  <si>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</si>
  <si>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</si>
  <si>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</si>
  <si>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</si>
  <si>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</si>
  <si>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</si>
  <si>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</si>
  <si>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</si>
  <si>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</si>
  <si>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</si>
  <si>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</si>
  <si>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</si>
  <si>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</si>
  <si>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</si>
  <si>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</si>
  <si>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</si>
  <si>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</si>
  <si>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</si>
  <si>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</si>
  <si>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</si>
  <si>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</si>
  <si>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</si>
  <si>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</si>
  <si>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</si>
  <si>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</si>
  <si>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</si>
  <si>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</si>
  <si>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</si>
  <si>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</si>
  <si>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</si>
  <si>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</si>
  <si>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</si>
  <si>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</si>
  <si>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</si>
  <si>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</si>
  <si>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</si>
  <si>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</si>
  <si>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</si>
  <si>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</si>
  <si>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</si>
  <si>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</si>
  <si>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</si>
  <si>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</si>
  <si>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</si>
  <si>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</si>
  <si>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</si>
  <si>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</si>
  <si>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</si>
  <si>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</si>
  <si>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</si>
  <si>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</si>
  <si>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</si>
  <si>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</si>
  <si>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</si>
  <si>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</si>
  <si>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</si>
  <si>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</si>
  <si>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</si>
  <si>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</si>
  <si>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</si>
  <si>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</si>
  <si>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</si>
  <si>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</si>
  <si>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</si>
  <si>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</si>
  <si>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</si>
  <si>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</si>
  <si>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</si>
  <si>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</si>
  <si>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</si>
  <si>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</si>
  <si>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</si>
  <si>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</si>
  <si>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</si>
  <si>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</si>
  <si>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</si>
  <si>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</si>
  <si>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</si>
  <si>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</si>
  <si>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</si>
  <si>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</si>
  <si>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</si>
  <si>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</si>
  <si>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</si>
  <si>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</si>
  <si>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</si>
  <si>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</si>
  <si>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</si>
  <si>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</si>
  <si>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</si>
  <si>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</si>
  <si>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</si>
  <si>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</si>
  <si>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</si>
  <si>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</si>
  <si>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</si>
  <si>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</si>
  <si>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</si>
  <si>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</si>
  <si>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</si>
  <si>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</si>
  <si>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</si>
  <si>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</si>
  <si>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</si>
  <si>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</si>
  <si>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</si>
  <si>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</si>
  <si>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</si>
  <si>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</si>
  <si>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</si>
  <si>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</si>
  <si>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</si>
  <si>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</si>
  <si>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</si>
  <si>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</si>
  <si>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</si>
  <si>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</si>
  <si>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</si>
  <si>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</si>
  <si>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</si>
  <si>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</si>
  <si>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</si>
  <si>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</si>
  <si>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</si>
  <si>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</si>
  <si>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</si>
  <si>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</si>
  <si>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</si>
  <si>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</si>
  <si>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</si>
  <si>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</si>
  <si>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</si>
  <si>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</si>
  <si>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</si>
  <si>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</si>
  <si>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</si>
  <si>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</si>
  <si>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</si>
  <si>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</si>
  <si>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</si>
  <si>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</si>
  <si>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</si>
  <si>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</si>
  <si>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</si>
  <si>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</si>
  <si>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</si>
  <si>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</si>
  <si>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</si>
  <si>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</si>
  <si>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</si>
  <si>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</si>
  <si>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</si>
  <si>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</si>
  <si>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</si>
  <si>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</si>
  <si>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</si>
  <si>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</si>
  <si>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</si>
  <si>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</si>
  <si>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</si>
  <si>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</si>
  <si>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</si>
  <si>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</si>
  <si>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</si>
  <si>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</si>
  <si>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</si>
  <si>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</si>
  <si>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</si>
  <si>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</si>
  <si>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</si>
  <si>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</si>
  <si>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</si>
  <si>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</si>
  <si>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</si>
  <si>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</si>
  <si>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</si>
  <si>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</si>
  <si>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</si>
  <si>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</si>
  <si>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</si>
  <si>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</si>
  <si>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</si>
  <si>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</si>
  <si>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</si>
  <si>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</si>
  <si>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</si>
  <si>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</si>
  <si>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</si>
  <si>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</si>
  <si>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</si>
  <si>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</si>
  <si>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</si>
  <si>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</si>
  <si>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</si>
  <si>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</si>
  <si>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</si>
  <si>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</si>
  <si>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</si>
  <si>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</si>
  <si>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</si>
  <si>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</si>
  <si>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</si>
  <si>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</si>
  <si>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</si>
  <si>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</si>
  <si>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</si>
  <si>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</si>
  <si>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</si>
  <si>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</si>
  <si>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</si>
  <si>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</si>
  <si>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</si>
  <si>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</si>
  <si>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</si>
  <si>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</si>
  <si>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</si>
  <si>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</si>
  <si>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</si>
  <si>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</si>
  <si>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</si>
  <si>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</si>
  <si>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</si>
  <si>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</si>
  <si>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</si>
  <si>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</si>
  <si>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</si>
  <si>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</si>
  <si>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</si>
  <si>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</si>
  <si>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</si>
  <si>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</si>
  <si>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</si>
  <si>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</si>
  <si>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</si>
  <si>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</si>
  <si>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</si>
  <si>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</si>
  <si>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</si>
  <si>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</si>
  <si>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</si>
  <si>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</si>
  <si>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</si>
  <si>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</si>
  <si>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</si>
  <si>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</si>
  <si>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</si>
  <si>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</si>
  <si>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</si>
  <si>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</si>
  <si>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</si>
  <si>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</si>
  <si>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</si>
  <si>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</si>
  <si>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</si>
  <si>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</si>
  <si>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</si>
  <si>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</si>
  <si>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</si>
  <si>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</si>
  <si>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</si>
  <si>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</si>
  <si>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</si>
  <si>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</si>
  <si>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</si>
  <si>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</si>
  <si>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</si>
  <si>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</si>
  <si>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</si>
  <si>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</si>
  <si>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</si>
  <si>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</si>
  <si>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</si>
  <si>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</si>
  <si>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</si>
  <si>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</si>
  <si>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</si>
  <si>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</si>
  <si>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</si>
  <si>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</si>
  <si>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</si>
  <si>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</si>
  <si>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</si>
  <si>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</si>
  <si>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</si>
  <si>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</si>
  <si>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</si>
  <si>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</si>
  <si>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</si>
  <si>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</si>
  <si>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</si>
  <si>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</si>
  <si>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</si>
  <si>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</si>
  <si>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</si>
  <si>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</si>
  <si>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</si>
  <si>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</si>
  <si>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</si>
  <si>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</si>
  <si>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</si>
  <si>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</si>
  <si>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</si>
  <si>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</si>
  <si>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</si>
  <si>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</si>
  <si>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</si>
  <si>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</si>
  <si>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</si>
  <si>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</si>
  <si>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</si>
  <si>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</si>
  <si>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</si>
  <si>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</si>
  <si>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</si>
  <si>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</si>
  <si>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</si>
  <si>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</si>
  <si>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</si>
  <si>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</si>
  <si>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</si>
  <si>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</si>
  <si>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</si>
  <si>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</si>
  <si>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</si>
  <si>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</si>
  <si>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</si>
  <si>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</si>
  <si>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</si>
  <si>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</si>
  <si>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</si>
  <si>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</si>
  <si>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</si>
  <si>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</si>
  <si>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</si>
  <si>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</si>
  <si>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</si>
  <si>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</si>
  <si>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</si>
  <si>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</si>
  <si>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</si>
  <si>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</si>
  <si>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</si>
  <si>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</si>
  <si>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</si>
  <si>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</si>
  <si>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</si>
  <si>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</si>
  <si>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</si>
  <si>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</si>
  <si>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</si>
  <si>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</si>
  <si>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</si>
  <si>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</si>
  <si>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</si>
  <si>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</si>
  <si>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</si>
  <si>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</si>
  <si>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</si>
  <si>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</si>
  <si>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</si>
  <si>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</si>
  <si>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</si>
  <si>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</si>
  <si>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</si>
  <si>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</si>
  <si>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</si>
  <si>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</si>
  <si>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</si>
  <si>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</si>
  <si>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</si>
  <si>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</si>
  <si>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</si>
  <si>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</si>
  <si>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</si>
  <si>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</si>
  <si>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</si>
  <si>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</si>
  <si>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</si>
  <si>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</si>
  <si>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</si>
  <si>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</si>
  <si>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</si>
  <si>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</si>
  <si>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</si>
  <si>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</si>
  <si>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</si>
  <si>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</si>
  <si>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</si>
  <si>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</si>
  <si>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</si>
  <si>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</si>
  <si>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</si>
  <si>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</si>
  <si>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</si>
  <si>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</si>
  <si>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</si>
  <si>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</si>
  <si>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</si>
  <si>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</si>
  <si>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</si>
  <si>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</si>
  <si>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</si>
  <si>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</si>
  <si>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</si>
  <si>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</si>
  <si>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</si>
  <si>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</si>
  <si>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</si>
  <si>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</si>
  <si>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</si>
  <si>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</si>
  <si>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</si>
  <si>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</si>
  <si>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</si>
  <si>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</si>
  <si>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</si>
  <si>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</si>
  <si>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</si>
  <si>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</si>
  <si>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</si>
  <si>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</si>
  <si>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</si>
  <si>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</si>
  <si>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</si>
  <si>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</si>
  <si>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</si>
  <si>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</si>
  <si>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</si>
  <si>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</si>
  <si>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</si>
  <si>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</si>
  <si>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</si>
  <si>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</si>
  <si>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</si>
  <si>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</si>
  <si>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</si>
  <si>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</si>
  <si>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</si>
  <si>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</si>
  <si>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</si>
  <si>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</si>
  <si>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</si>
  <si>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</si>
  <si>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</si>
  <si>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</si>
  <si>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</si>
  <si>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</si>
  <si>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</si>
  <si>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</si>
  <si>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</si>
  <si>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</si>
  <si>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</si>
  <si>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</si>
  <si>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</si>
  <si>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</si>
  <si>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</si>
  <si>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</si>
  <si>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</si>
  <si>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</si>
  <si>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</si>
  <si>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</si>
  <si>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</si>
  <si>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</si>
  <si>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</si>
  <si>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</si>
  <si>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</si>
  <si>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</si>
  <si>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</si>
  <si>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</si>
  <si>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</si>
  <si>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</si>
  <si>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</si>
  <si>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</si>
  <si>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</si>
  <si>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</si>
  <si>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</si>
  <si>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</si>
  <si>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</si>
  <si>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</si>
  <si>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</si>
  <si>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</si>
  <si>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</si>
  <si>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</si>
  <si>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</si>
  <si>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</si>
  <si>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</si>
  <si>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</si>
  <si>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</si>
  <si>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</si>
  <si>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</si>
  <si>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</si>
  <si>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</si>
  <si>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</si>
  <si>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</si>
  <si>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</si>
  <si>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</si>
  <si>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</si>
  <si>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</si>
  <si>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</si>
  <si>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</si>
  <si>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</si>
  <si>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</si>
  <si>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</si>
  <si>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</si>
  <si>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</si>
  <si>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</si>
  <si>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</si>
  <si>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</si>
  <si>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</si>
  <si>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</si>
  <si>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</si>
  <si>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</si>
  <si>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</si>
  <si>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</si>
  <si>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</si>
  <si>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</si>
  <si>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</si>
  <si>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</si>
  <si>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</si>
  <si>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</si>
  <si>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</si>
  <si>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</si>
  <si>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</si>
  <si>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</si>
  <si>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</si>
  <si>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</si>
  <si>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</si>
  <si>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</si>
  <si>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</si>
  <si>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</si>
  <si>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</si>
  <si>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</si>
  <si>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</si>
  <si>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</si>
  <si>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</si>
  <si>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</si>
  <si>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</si>
  <si>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</si>
  <si>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</si>
  <si>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</si>
  <si>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</si>
  <si>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</si>
  <si>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</si>
  <si>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</si>
  <si>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</si>
  <si>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</si>
  <si>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</si>
  <si>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</si>
  <si>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</si>
  <si>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</si>
  <si>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</si>
  <si>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</si>
  <si>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</si>
  <si>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</si>
  <si>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</si>
  <si>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</si>
  <si>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</si>
  <si>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</si>
  <si>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</si>
  <si>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</si>
  <si>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</si>
  <si>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</si>
  <si>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</si>
  <si>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</si>
  <si>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</si>
  <si>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</si>
  <si>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</si>
  <si>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</si>
  <si>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</si>
  <si>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</si>
  <si>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</si>
  <si>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</si>
  <si>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</si>
  <si>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</si>
  <si>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</si>
  <si>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</si>
  <si>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</si>
  <si>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</si>
  <si>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</si>
  <si>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</si>
  <si>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</si>
  <si>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</si>
  <si>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</si>
  <si>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</si>
  <si>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</si>
  <si>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</si>
  <si>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</si>
  <si>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</si>
  <si>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</si>
  <si>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</si>
  <si>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</si>
  <si>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</si>
  <si>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</si>
  <si>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</si>
  <si>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</si>
  <si>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</si>
  <si>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</si>
  <si>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</si>
  <si>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</si>
  <si>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</si>
  <si>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</si>
  <si>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</si>
  <si>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</si>
  <si>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</si>
  <si>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</si>
  <si>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</si>
  <si>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</si>
  <si>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</si>
  <si>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</si>
  <si>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</si>
  <si>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</si>
  <si>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</si>
  <si>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</si>
  <si>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</si>
  <si>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</si>
  <si>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</si>
  <si>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</si>
  <si>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</si>
  <si>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</si>
  <si>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</si>
  <si>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</si>
  <si>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</si>
  <si>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</si>
  <si>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</si>
  <si>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</si>
  <si>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</si>
  <si>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</si>
  <si>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</si>
  <si>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</si>
  <si>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</si>
  <si>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</si>
  <si>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</si>
  <si>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</si>
  <si>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</si>
  <si>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</si>
  <si>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</si>
  <si>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</si>
  <si>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</si>
  <si>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</si>
  <si>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</si>
  <si>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</si>
  <si>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</si>
  <si>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</si>
  <si>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</si>
  <si>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</si>
  <si>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</si>
  <si>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</si>
  <si>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</si>
  <si>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</si>
  <si>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</si>
  <si>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</si>
  <si>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</si>
  <si>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</si>
  <si>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</si>
  <si>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</si>
  <si>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</si>
  <si>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</si>
  <si>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</si>
  <si>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</si>
  <si>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</si>
  <si>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</si>
  <si>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</si>
  <si>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</si>
  <si>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</si>
  <si>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</si>
  <si>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</si>
  <si>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</si>
  <si>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</si>
  <si>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</si>
  <si>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</si>
  <si>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</si>
  <si>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</si>
  <si>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</si>
  <si>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</si>
  <si>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</si>
  <si>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</si>
  <si>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</si>
  <si>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</si>
  <si>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</si>
  <si>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</si>
  <si>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</si>
  <si>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</si>
  <si>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</si>
  <si>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</si>
  <si>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</si>
  <si>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</si>
  <si>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</si>
  <si>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</si>
  <si>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</si>
  <si>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</si>
  <si>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</si>
  <si>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</si>
  <si>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</si>
  <si>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</si>
  <si>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</si>
  <si>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</si>
  <si>
    <t>Јаков Смолиќ</t>
  </si>
  <si>
    <t>Сениори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</si>
</sst>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name val="Calibri"/>
      <scheme val="minor"/>
    </font>
    <font>
      <sz val="11"/>
      <name val="Calibri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  <xf numFmtId="0" fontId="37" fillId="0" borderId="0"/>
  </cellStyleXfs>
  <cellXfs count="46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8" fillId="0" borderId="1" xfId="10" applyFont="1" applyBorder="1"/>
    <xf numFmtId="0" fontId="0" fillId="0" borderId="79" xfId="0" applyBorder="1"/>
    <xf numFmtId="0" fontId="14" fillId="0" borderId="44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6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28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1">
    <cellStyle name="Comma 2" xfId="3" xr:uid="{00000000-0005-0000-0000-000000000000}"/>
    <cellStyle name="Excel Built-in Hyperlink" xfId="5" xr:uid="{00000000-0005-0000-0000-000001000000}"/>
    <cellStyle name="Excel Built-in Normal" xfId="2" xr:uid="{00000000-0005-0000-0000-000002000000}"/>
    <cellStyle name="Heading" xfId="6" xr:uid="{00000000-0005-0000-0000-000003000000}"/>
    <cellStyle name="Heading1" xfId="7" xr:uid="{00000000-0005-0000-0000-000004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10" xr:uid="{00000000-0005-0000-0000-000008000000}"/>
    <cellStyle name="Result" xfId="8" xr:uid="{00000000-0005-0000-0000-000009000000}"/>
    <cellStyle name="Result2" xfId="9" xr:uid="{00000000-0005-0000-0000-00000A000000}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Q98"/>
  <sheetViews>
    <sheetView topLeftCell="A10" workbookViewId="0">
      <selection activeCell="T24" sqref="T24"/>
    </sheetView>
  </sheetViews>
  <sheetFormatPr defaultColWidth="8.85546875" defaultRowHeight="15.75"/>
  <cols>
    <col min="1" max="1" width="9" style="239" customWidth="1"/>
    <col min="2" max="2" width="6.140625" style="35" customWidth="1"/>
    <col min="3" max="3" width="4.140625" style="239" customWidth="1"/>
    <col min="4" max="4" width="45.7109375" style="239" customWidth="1"/>
    <col min="5" max="5" width="19.85546875" style="239" customWidth="1"/>
    <col min="6" max="6" width="4.28515625" style="239" customWidth="1"/>
    <col min="7" max="7" width="7.5703125" style="239" customWidth="1"/>
    <col min="8" max="8" width="7.5703125" style="323" customWidth="1"/>
    <col min="9" max="9" width="35.42578125" style="242" customWidth="1"/>
    <col min="10" max="10" width="21.140625" style="239" customWidth="1"/>
    <col min="11" max="11" width="11" style="240" hidden="1" customWidth="1"/>
    <col min="12" max="12" width="5.140625" style="240" hidden="1" customWidth="1"/>
    <col min="13" max="13" width="23.5703125" style="239" hidden="1" customWidth="1"/>
    <col min="14" max="14" width="2.7109375" style="239" hidden="1" customWidth="1"/>
    <col min="15" max="16384" width="8.85546875" style="239"/>
  </cols>
  <sheetData>
    <row r="1" spans="2:17">
      <c r="B1" s="356" t="s">
        <v>123</v>
      </c>
      <c r="C1" s="357"/>
      <c r="D1" s="357"/>
      <c r="E1" s="357"/>
      <c r="F1" s="358" t="s">
        <v>121</v>
      </c>
      <c r="G1" s="359"/>
      <c r="H1" s="359"/>
      <c r="I1" s="359"/>
      <c r="J1" s="359"/>
      <c r="K1" s="359"/>
      <c r="L1" s="359"/>
      <c r="M1" s="359"/>
      <c r="N1" s="359"/>
      <c r="O1" s="360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Филип Младеновски (70)</v>
      </c>
      <c r="E3" s="294" t="str">
        <f>IF(D3="","",INDEX($J$3:$J$42,MATCH(C3,$G$3:$G$42,0)))</f>
        <v>Шампион ФА</v>
      </c>
      <c r="F3" s="299">
        <v>26</v>
      </c>
      <c r="G3" s="250">
        <v>1</v>
      </c>
      <c r="H3" s="36">
        <v>70</v>
      </c>
      <c r="I3" s="300" t="str">
        <f>IF(ISERROR(VLOOKUP(H3,Baza!A:C,2,FALSE)&amp;" "&amp;"("&amp;H3&amp;")"),"",(VLOOKUP(H3,Baza!A:C,2,FALSE)&amp;" "&amp;"("&amp;H3&amp;")"))</f>
        <v>Филип Младеновски (70)</v>
      </c>
      <c r="J3" s="300" t="str">
        <f>IF(ISERROR(VLOOKUP(H3,Baza!A:C,3,FALSE)),"",(VLOOKUP(H3,Baza!A:C,3,FALSE)))</f>
        <v>Шампион ФА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26</v>
      </c>
      <c r="O3" s="250">
        <v>634</v>
      </c>
    </row>
    <row r="4" spans="2:17">
      <c r="B4" s="352"/>
      <c r="C4" s="265">
        <v>2</v>
      </c>
      <c r="D4" s="287" t="str">
        <f t="shared" ref="D4:D67" si="1">IF(ISERROR(VLOOKUP(C4,$G$3:$I$66,3,FALSE)),"",(VLOOKUP(C4,$G$3:$I$66,3,FALSE)))</f>
        <v>Мирослав Симиќ (55)</v>
      </c>
      <c r="E4" s="288" t="str">
        <f t="shared" ref="E4:E66" si="2">IF(D4="","",INDEX($J$3:$J$42,MATCH(C4,$G$3:$G$42,0)))</f>
        <v>Телеком НЕЦ</v>
      </c>
      <c r="F4" s="284">
        <v>12</v>
      </c>
      <c r="G4" s="243">
        <v>5</v>
      </c>
      <c r="H4" s="36">
        <v>3</v>
      </c>
      <c r="I4" s="252" t="str">
        <f>IF(ISERROR(VLOOKUP(H4,Baza!A:C,2,FALSE)&amp;" "&amp;"("&amp;H4&amp;")"),"",(VLOOKUP(H4,Baza!A:C,2,FALSE)&amp;" "&amp;"("&amp;H4&amp;")"))</f>
        <v>Алeксандар Марковиќ (3)</v>
      </c>
      <c r="J4" s="252" t="str">
        <f>IF(ISERROR(VLOOKUP(H4,Baza!A:C,3,FALSE)),"",(VLOOKUP(H4,Baza!A:C,3,FALSE)))</f>
        <v>Вардар</v>
      </c>
      <c r="K4" s="312">
        <f>IF(ISERROR(VLOOKUP(H4,Baza!A:D,4,FALSE)),"",(VLOOKUP(H4,Baza!A:D,4,FALSE)))</f>
        <v>0</v>
      </c>
      <c r="M4" s="239" t="str">
        <f t="shared" si="0"/>
        <v>Пелагонија</v>
      </c>
      <c r="N4" s="239">
        <v>12</v>
      </c>
      <c r="O4" s="243">
        <v>432</v>
      </c>
    </row>
    <row r="5" spans="2:17">
      <c r="B5" s="352"/>
      <c r="C5" s="265">
        <v>3</v>
      </c>
      <c r="D5" s="287" t="str">
        <f t="shared" si="1"/>
        <v>Александар Нолевски (106)</v>
      </c>
      <c r="E5" s="288" t="str">
        <f t="shared" si="2"/>
        <v>Пелагонија</v>
      </c>
      <c r="F5" s="284">
        <v>2</v>
      </c>
      <c r="G5" s="243">
        <v>9</v>
      </c>
      <c r="H5" s="36">
        <v>2</v>
      </c>
      <c r="I5" s="252" t="str">
        <f>IF(ISERROR(VLOOKUP(H5,Baza!A:C,2,FALSE)&amp;" "&amp;"("&amp;H5&amp;")"),"",(VLOOKUP(H5,Baza!A:C,2,FALSE)&amp;" "&amp;"("&amp;H5&amp;")"))</f>
        <v>Христијан Јовановски  (2)</v>
      </c>
      <c r="J5" s="252" t="str">
        <f>IF(ISERROR(VLOOKUP(H5,Baza!A:C,3,FALSE)),"",(VLOOKUP(H5,Baza!A:C,3,FALSE)))</f>
        <v>Пелагонија</v>
      </c>
      <c r="K5" s="312">
        <f>IF(ISERROR(VLOOKUP(H5,Baza!A:D,4,FALSE)),"",(VLOOKUP(H5,Baza!A:D,4,FALSE)))</f>
        <v>0</v>
      </c>
      <c r="M5" s="239" t="str">
        <f t="shared" si="0"/>
        <v>Вардар</v>
      </c>
      <c r="N5" s="239">
        <v>2</v>
      </c>
      <c r="O5" s="243">
        <v>348</v>
      </c>
    </row>
    <row r="6" spans="2:17" ht="16.5" thickBot="1">
      <c r="B6" s="355"/>
      <c r="C6" s="268">
        <v>4</v>
      </c>
      <c r="D6" s="291" t="str">
        <f t="shared" si="1"/>
        <v/>
      </c>
      <c r="E6" s="292" t="str">
        <f t="shared" si="2"/>
        <v/>
      </c>
      <c r="F6" s="284">
        <v>14</v>
      </c>
      <c r="G6" s="250">
        <v>13</v>
      </c>
      <c r="H6" s="36">
        <v>73</v>
      </c>
      <c r="I6" s="252" t="str">
        <f>IF(ISERROR(VLOOKUP(H6,Baza!A:C,2,FALSE)&amp;" "&amp;"("&amp;H6&amp;")"),"",(VLOOKUP(H6,Baza!A:C,2,FALSE)&amp;" "&amp;"("&amp;H6&amp;")"))</f>
        <v>Лука Стојчев (73)</v>
      </c>
      <c r="J6" s="252" t="str">
        <f>IF(ISERROR(VLOOKUP(H6,Baza!A:C,3,FALSE)),"",(VLOOKUP(H6,Baza!A:C,3,FALSE)))</f>
        <v xml:space="preserve">Младост 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14</v>
      </c>
      <c r="O6" s="243">
        <v>317</v>
      </c>
    </row>
    <row r="7" spans="2:17">
      <c r="B7" s="351" t="s">
        <v>63</v>
      </c>
      <c r="C7" s="264">
        <v>5</v>
      </c>
      <c r="D7" s="285" t="str">
        <f t="shared" si="1"/>
        <v>Алeксандар Марковиќ (3)</v>
      </c>
      <c r="E7" s="286" t="str">
        <f t="shared" si="2"/>
        <v>Вардар</v>
      </c>
      <c r="F7" s="284">
        <v>7</v>
      </c>
      <c r="G7" s="243">
        <v>17</v>
      </c>
      <c r="H7" s="36">
        <v>178</v>
      </c>
      <c r="I7" s="252" t="str">
        <f>IF(ISERROR(VLOOKUP(H7,Baza!A:C,2,FALSE)&amp;" "&amp;"("&amp;H7&amp;")"),"",(VLOOKUP(H7,Baza!A:C,2,FALSE)&amp;" "&amp;"("&amp;H7&amp;")"))</f>
        <v>Александар Јакимовски (178)</v>
      </c>
      <c r="J7" s="252" t="str">
        <f>IF(ISERROR(VLOOKUP(H7,Baza!A:C,3,FALSE)),"",(VLOOKUP(H7,Baza!A:C,3,FALSE)))</f>
        <v>Крива Паланка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7</v>
      </c>
      <c r="O7" s="243">
        <v>233</v>
      </c>
    </row>
    <row r="8" spans="2:17">
      <c r="B8" s="352"/>
      <c r="C8" s="265">
        <v>6</v>
      </c>
      <c r="D8" s="287" t="str">
        <f t="shared" si="1"/>
        <v>Дарко Китановски (499)</v>
      </c>
      <c r="E8" s="288" t="str">
        <f t="shared" si="2"/>
        <v>Пелагонија</v>
      </c>
      <c r="F8" s="284">
        <v>1</v>
      </c>
      <c r="G8" s="243">
        <v>21</v>
      </c>
      <c r="H8" s="350">
        <v>127</v>
      </c>
      <c r="I8" s="252" t="str">
        <f>IF(ISERROR(VLOOKUP(H8,Baza!A:C,2,FALSE)&amp;" "&amp;"("&amp;H8&amp;")"),"",(VLOOKUP(H8,Baza!A:C,2,FALSE)&amp;" "&amp;"("&amp;H8&amp;")"))</f>
        <v>Сашо Љамов (127)</v>
      </c>
      <c r="J8" s="252">
        <f>IF(ISERROR(VLOOKUP(H8,Baza!A:C,3,FALSE)),"",(VLOOKUP(H8,Baza!A:C,3,FALSE)))</f>
        <v>0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1</v>
      </c>
      <c r="O8" s="243">
        <v>191</v>
      </c>
    </row>
    <row r="9" spans="2:17">
      <c r="B9" s="352"/>
      <c r="C9" s="265">
        <v>7</v>
      </c>
      <c r="D9" s="287" t="str">
        <f t="shared" si="1"/>
        <v>Лука Огненоски (15)</v>
      </c>
      <c r="E9" s="288" t="str">
        <f t="shared" si="2"/>
        <v>Младост 96</v>
      </c>
      <c r="F9" s="284">
        <v>11</v>
      </c>
      <c r="G9" s="250">
        <v>25</v>
      </c>
      <c r="H9" s="350">
        <v>37</v>
      </c>
      <c r="I9" s="252" t="str">
        <f>IF(ISERROR(VLOOKUP(H9,Baza!A:C,2,FALSE)&amp;" "&amp;"("&amp;H9&amp;")"),"",(VLOOKUP(H9,Baza!A:C,2,FALSE)&amp;" "&amp;"("&amp;H9&amp;")"))</f>
        <v>Христијан Јованов (37)</v>
      </c>
      <c r="J9" s="252" t="str">
        <f>IF(ISERROR(VLOOKUP(H9,Baza!A:C,3,FALSE)),"",(VLOOKUP(H9,Baza!A:C,3,FALSE)))</f>
        <v>Работнички</v>
      </c>
      <c r="K9" s="312">
        <f>IF(ISERROR(VLOOKUP(H9,Baza!A:D,4,FALSE)),"",(VLOOKUP(H9,Baza!A:D,4,FALSE)))</f>
        <v>0</v>
      </c>
      <c r="M9" s="239" t="str">
        <f t="shared" si="0"/>
        <v>Вардар</v>
      </c>
      <c r="N9" s="239">
        <v>11</v>
      </c>
      <c r="O9" s="243">
        <v>165</v>
      </c>
      <c r="Q9" s="324"/>
    </row>
    <row r="10" spans="2:17" ht="16.5" thickBot="1">
      <c r="B10" s="353"/>
      <c r="C10" s="266">
        <v>8</v>
      </c>
      <c r="D10" s="289" t="str">
        <f t="shared" si="1"/>
        <v/>
      </c>
      <c r="E10" s="290" t="str">
        <f t="shared" si="2"/>
        <v/>
      </c>
      <c r="F10" s="284">
        <v>23</v>
      </c>
      <c r="G10" s="243">
        <v>29</v>
      </c>
      <c r="H10" s="350">
        <v>108</v>
      </c>
      <c r="I10" s="252" t="str">
        <f>IF(ISERROR(VLOOKUP(H10,Baza!A:C,2,FALSE)&amp;" "&amp;"("&amp;H10&amp;")"),"",(VLOOKUP(H10,Baza!A:C,2,FALSE)&amp;" "&amp;"("&amp;H10&amp;")"))</f>
        <v>Даниел Главевски Зхоу  (108)</v>
      </c>
      <c r="J10" s="252" t="str">
        <f>IF(ISERROR(VLOOKUP(H10,Baza!A:C,3,FALSE)),"",(VLOOKUP(H10,Baza!A:C,3,FALSE)))</f>
        <v>Пелагонија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23</v>
      </c>
      <c r="O10" s="243">
        <v>136</v>
      </c>
      <c r="Q10" s="324"/>
    </row>
    <row r="11" spans="2:17">
      <c r="B11" s="354" t="s">
        <v>64</v>
      </c>
      <c r="C11" s="267">
        <v>9</v>
      </c>
      <c r="D11" s="293" t="str">
        <f t="shared" si="1"/>
        <v>Христијан Јовановски  (2)</v>
      </c>
      <c r="E11" s="294" t="str">
        <f t="shared" si="2"/>
        <v>Пелагонија</v>
      </c>
      <c r="F11" s="284">
        <v>6</v>
      </c>
      <c r="G11" s="243">
        <v>37</v>
      </c>
      <c r="H11" s="36">
        <v>190</v>
      </c>
      <c r="I11" s="252" t="str">
        <f>IF(ISERROR(VLOOKUP(H11,Baza!A:C,2,FALSE)&amp;" "&amp;"("&amp;H11&amp;")"),"",(VLOOKUP(H11,Baza!A:C,2,FALSE)&amp;" "&amp;"("&amp;H11&amp;")"))</f>
        <v>Нико Доага (190)</v>
      </c>
      <c r="J11" s="252" t="str">
        <f>IF(ISERROR(VLOOKUP(H11,Baza!A:C,3,FALSE)),"",(VLOOKUP(H11,Baza!A:C,3,FALSE)))</f>
        <v>Младост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6</v>
      </c>
      <c r="O11" s="243">
        <v>115</v>
      </c>
      <c r="Q11" s="324"/>
    </row>
    <row r="12" spans="2:17">
      <c r="B12" s="352"/>
      <c r="C12" s="265">
        <v>10</v>
      </c>
      <c r="D12" s="287" t="str">
        <f t="shared" si="1"/>
        <v>Сашо Стојановски (35)</v>
      </c>
      <c r="E12" s="288" t="str">
        <f t="shared" si="2"/>
        <v>Работнички</v>
      </c>
      <c r="F12" s="284">
        <v>15</v>
      </c>
      <c r="G12" s="250">
        <v>33</v>
      </c>
      <c r="H12" s="36">
        <v>47</v>
      </c>
      <c r="I12" s="252" t="str">
        <f>IF(ISERROR(VLOOKUP(H12,Baza!A:C,2,FALSE)&amp;" "&amp;"("&amp;H12&amp;")"),"",(VLOOKUP(H12,Baza!A:C,2,FALSE)&amp;" "&amp;"("&amp;H12&amp;")"))</f>
        <v>Андреј Стојановски (47)</v>
      </c>
      <c r="J12" s="252" t="str">
        <f>IF(ISERROR(VLOOKUP(H12,Baza!A:C,3,FALSE)),"",(VLOOKUP(H12,Baza!A:C,3,FALSE)))</f>
        <v>10 60 АС Ѓорче Петров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15</v>
      </c>
      <c r="O12" s="243">
        <v>115</v>
      </c>
      <c r="Q12" s="324"/>
    </row>
    <row r="13" spans="2:17">
      <c r="B13" s="352"/>
      <c r="C13" s="265">
        <v>11</v>
      </c>
      <c r="D13" s="287" t="str">
        <f t="shared" si="1"/>
        <v>Венко Стојанов (49)</v>
      </c>
      <c r="E13" s="288" t="str">
        <f t="shared" si="2"/>
        <v>Радовиш</v>
      </c>
      <c r="F13" s="284">
        <v>13</v>
      </c>
      <c r="G13" s="243">
        <v>38</v>
      </c>
      <c r="H13" s="349">
        <v>365</v>
      </c>
      <c r="I13" s="252" t="str">
        <f>IF(ISERROR(VLOOKUP(H13,Baza!A:C,2,FALSE)&amp;" "&amp;"("&amp;H13&amp;")"),"",(VLOOKUP(H13,Baza!A:C,2,FALSE)&amp;" "&amp;"("&amp;H13&amp;")"))</f>
        <v>Ѓорѓе Бораниев (365)</v>
      </c>
      <c r="J13" s="252" t="str">
        <f>IF(ISERROR(VLOOKUP(H13,Baza!A:C,3,FALSE)),"",(VLOOKUP(H13,Baza!A:C,3,FALSE)))</f>
        <v>Радовиш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13</v>
      </c>
      <c r="O13" s="243">
        <v>110</v>
      </c>
      <c r="Q13" s="324"/>
    </row>
    <row r="14" spans="2:17" ht="16.5" thickBot="1">
      <c r="B14" s="355"/>
      <c r="C14" s="268">
        <v>12</v>
      </c>
      <c r="D14" s="291" t="str">
        <f t="shared" si="1"/>
        <v/>
      </c>
      <c r="E14" s="292" t="str">
        <f t="shared" si="2"/>
        <v/>
      </c>
      <c r="F14" s="284">
        <v>20</v>
      </c>
      <c r="G14" s="243">
        <v>30</v>
      </c>
      <c r="H14" s="36">
        <v>122</v>
      </c>
      <c r="I14" s="252" t="str">
        <f>IF(ISERROR(VLOOKUP(H14,Baza!A:C,2,FALSE)&amp;" "&amp;"("&amp;H14&amp;")"),"",(VLOOKUP(H14,Baza!A:C,2,FALSE)&amp;" "&amp;"("&amp;H14&amp;")"))</f>
        <v>Мартин Калески (122)</v>
      </c>
      <c r="J14" s="252" t="str">
        <f>IF(ISERROR(VLOOKUP(H14,Baza!A:C,3,FALSE)),"",(VLOOKUP(H14,Baza!A:C,3,FALSE)))</f>
        <v>Прилеп</v>
      </c>
      <c r="K14" s="312">
        <f>IF(ISERROR(VLOOKUP(H14,Baza!A:D,4,FALSE)),"",(VLOOKUP(H14,Baza!A:D,4,FALSE)))</f>
        <v>0</v>
      </c>
      <c r="M14" s="239" t="e">
        <f t="shared" si="0"/>
        <v>#N/A</v>
      </c>
      <c r="N14" s="239">
        <v>20</v>
      </c>
      <c r="O14" s="243">
        <v>89</v>
      </c>
      <c r="Q14" s="324"/>
    </row>
    <row r="15" spans="2:17">
      <c r="B15" s="351" t="s">
        <v>65</v>
      </c>
      <c r="C15" s="264">
        <v>13</v>
      </c>
      <c r="D15" s="285" t="str">
        <f t="shared" si="1"/>
        <v>Лука Стојчев (73)</v>
      </c>
      <c r="E15" s="286" t="str">
        <f t="shared" si="2"/>
        <v xml:space="preserve">Младост </v>
      </c>
      <c r="F15" s="284">
        <v>4</v>
      </c>
      <c r="G15" s="243">
        <v>26</v>
      </c>
      <c r="H15" s="36">
        <v>54</v>
      </c>
      <c r="I15" s="252" t="str">
        <f>IF(ISERROR(VLOOKUP(H15,Baza!A:C,2,FALSE)&amp;" "&amp;"("&amp;H15&amp;")"),"",(VLOOKUP(H15,Baza!A:C,2,FALSE)&amp;" "&amp;"("&amp;H15&amp;")"))</f>
        <v>Слободан Грковски (54)</v>
      </c>
      <c r="J15" s="252" t="str">
        <f>IF(ISERROR(VLOOKUP(H15,Baza!A:C,3,FALSE)),"",(VLOOKUP(H15,Baza!A:C,3,FALSE)))</f>
        <v>Телеком НЕЦ</v>
      </c>
      <c r="K15" s="312">
        <f>IF(ISERROR(VLOOKUP(H15,Baza!A:D,4,FALSE)),"",(VLOOKUP(H15,Baza!A:D,4,FALSE)))</f>
        <v>0</v>
      </c>
      <c r="M15" s="239" t="e">
        <f t="shared" si="0"/>
        <v>#N/A</v>
      </c>
      <c r="N15" s="239">
        <v>4</v>
      </c>
      <c r="O15" s="243">
        <v>76</v>
      </c>
      <c r="Q15" s="324"/>
    </row>
    <row r="16" spans="2:17">
      <c r="B16" s="352"/>
      <c r="C16" s="265">
        <v>14</v>
      </c>
      <c r="D16" s="287" t="str">
        <f t="shared" si="1"/>
        <v>Зоран Димитријевски (74)</v>
      </c>
      <c r="E16" s="288" t="str">
        <f t="shared" si="2"/>
        <v>Шампион ФА</v>
      </c>
      <c r="F16" s="284">
        <v>24</v>
      </c>
      <c r="G16" s="243">
        <v>22</v>
      </c>
      <c r="H16" s="349">
        <v>52</v>
      </c>
      <c r="I16" s="252" t="str">
        <f>IF(ISERROR(VLOOKUP(H16,Baza!A:C,2,FALSE)&amp;" "&amp;"("&amp;H16&amp;")"),"",(VLOOKUP(H16,Baza!A:C,2,FALSE)&amp;" "&amp;"("&amp;H16&amp;")"))</f>
        <v>Марјан Крстев (52)</v>
      </c>
      <c r="J16" s="252" t="str">
        <f>IF(ISERROR(VLOOKUP(H16,Baza!A:C,3,FALSE)),"",(VLOOKUP(H16,Baza!A:C,3,FALSE)))</f>
        <v>Радовиш</v>
      </c>
      <c r="K16" s="312">
        <f>IF(ISERROR(VLOOKUP(H16,Baza!A:D,4,FALSE)),"",(VLOOKUP(H16,Baza!A:D,4,FALSE)))</f>
        <v>0</v>
      </c>
      <c r="M16" s="239" t="e">
        <f t="shared" si="0"/>
        <v>#N/A</v>
      </c>
      <c r="N16" s="239">
        <v>24</v>
      </c>
      <c r="O16" s="243">
        <v>68</v>
      </c>
      <c r="Q16" s="324"/>
    </row>
    <row r="17" spans="2:17">
      <c r="B17" s="352"/>
      <c r="C17" s="265">
        <v>15</v>
      </c>
      <c r="D17" s="287" t="str">
        <f t="shared" si="1"/>
        <v>Марко Китановски (500)</v>
      </c>
      <c r="E17" s="288" t="str">
        <f t="shared" si="2"/>
        <v>Пелагонија</v>
      </c>
      <c r="F17" s="284">
        <v>30</v>
      </c>
      <c r="G17" s="243">
        <v>34</v>
      </c>
      <c r="H17" s="322">
        <v>17</v>
      </c>
      <c r="I17" s="252" t="str">
        <f>IF(ISERROR(VLOOKUP(H17,Baza!A:C,2,FALSE)&amp;" "&amp;"("&amp;H17&amp;")"),"",(VLOOKUP(H17,Baza!A:C,2,FALSE)&amp;" "&amp;"("&amp;H17&amp;")"))</f>
        <v>Бобан Лашкоски (17)</v>
      </c>
      <c r="J17" s="252" t="str">
        <f>IF(ISERROR(VLOOKUP(H17,Baza!A:C,3,FALSE)),"",(VLOOKUP(H17,Baza!A:C,3,FALSE)))</f>
        <v>Младост 96</v>
      </c>
      <c r="K17" s="312">
        <f>IF(ISERROR(VLOOKUP(H17,Baza!A:D,4,FALSE)),"",(VLOOKUP(H17,Baza!A:D,4,FALSE)))</f>
        <v>0</v>
      </c>
      <c r="M17" s="239" t="str">
        <f t="shared" si="0"/>
        <v>Младост 96</v>
      </c>
      <c r="N17" s="239">
        <v>30</v>
      </c>
      <c r="O17" s="243">
        <v>57</v>
      </c>
      <c r="Q17" s="324"/>
    </row>
    <row r="18" spans="2:17" ht="16.5" thickBot="1">
      <c r="B18" s="353"/>
      <c r="C18" s="266">
        <v>16</v>
      </c>
      <c r="D18" s="289" t="str">
        <f t="shared" si="1"/>
        <v/>
      </c>
      <c r="E18" s="290" t="str">
        <f t="shared" si="2"/>
        <v/>
      </c>
      <c r="F18" s="284">
        <v>10</v>
      </c>
      <c r="G18" s="243">
        <v>2</v>
      </c>
      <c r="H18" s="36">
        <v>55</v>
      </c>
      <c r="I18" s="252" t="str">
        <f>IF(ISERROR(VLOOKUP(H18,Baza!A:C,2,FALSE)&amp;" "&amp;"("&amp;H18&amp;")"),"",(VLOOKUP(H18,Baza!A:C,2,FALSE)&amp;" "&amp;"("&amp;H18&amp;")"))</f>
        <v>Мирослав Симиќ (55)</v>
      </c>
      <c r="J18" s="252" t="str">
        <f>IF(ISERROR(VLOOKUP(H18,Baza!A:C,3,FALSE)),"",(VLOOKUP(H18,Baza!A:C,3,FALSE)))</f>
        <v>Телеком НЕЦ</v>
      </c>
      <c r="K18" s="312">
        <f>IF(ISERROR(VLOOKUP(H18,Baza!A:D,4,FALSE)),"",(VLOOKUP(H18,Baza!A:D,4,FALSE)))</f>
        <v>0</v>
      </c>
      <c r="M18" s="239" t="e">
        <f t="shared" si="0"/>
        <v>#N/A</v>
      </c>
      <c r="N18" s="239">
        <v>10</v>
      </c>
      <c r="O18" s="243">
        <v>52</v>
      </c>
      <c r="Q18" s="324"/>
    </row>
    <row r="19" spans="2:17">
      <c r="B19" s="354" t="s">
        <v>66</v>
      </c>
      <c r="C19" s="273">
        <v>17</v>
      </c>
      <c r="D19" s="293" t="str">
        <f t="shared" si="1"/>
        <v>Александар Јакимовски (178)</v>
      </c>
      <c r="E19" s="294" t="str">
        <f t="shared" si="2"/>
        <v>Крива Паланка</v>
      </c>
      <c r="F19" s="284">
        <v>27</v>
      </c>
      <c r="G19" s="243">
        <v>14</v>
      </c>
      <c r="H19" s="36">
        <v>74</v>
      </c>
      <c r="I19" s="252" t="str">
        <f>IF(ISERROR(VLOOKUP(H19,Baza!A:C,2,FALSE)&amp;" "&amp;"("&amp;H19&amp;")"),"",(VLOOKUP(H19,Baza!A:C,2,FALSE)&amp;" "&amp;"("&amp;H19&amp;")"))</f>
        <v>Зоран Димитријевски (74)</v>
      </c>
      <c r="J19" s="252" t="str">
        <f>IF(ISERROR(VLOOKUP(H19,Baza!A:C,3,FALSE)),"",(VLOOKUP(H19,Baza!A:C,3,FALSE)))</f>
        <v>Шампион ФА</v>
      </c>
      <c r="K19" s="312">
        <f>IF(ISERROR(VLOOKUP(H19,Baza!A:D,4,FALSE)),"",(VLOOKUP(H19,Baza!A:D,4,FALSE)))</f>
        <v>0</v>
      </c>
      <c r="M19" s="239" t="str">
        <f t="shared" si="0"/>
        <v>Младост 96</v>
      </c>
      <c r="N19" s="239">
        <v>27</v>
      </c>
      <c r="O19" s="243">
        <v>52</v>
      </c>
      <c r="Q19" s="324"/>
    </row>
    <row r="20" spans="2:17">
      <c r="B20" s="352"/>
      <c r="C20" s="270">
        <v>18</v>
      </c>
      <c r="D20" s="287" t="str">
        <f t="shared" si="1"/>
        <v>Боро Варошлија (85)</v>
      </c>
      <c r="E20" s="288" t="str">
        <f t="shared" si="2"/>
        <v>Дебар Маало</v>
      </c>
      <c r="F20" s="284">
        <v>3</v>
      </c>
      <c r="G20" s="243">
        <v>10</v>
      </c>
      <c r="H20" s="36">
        <v>35</v>
      </c>
      <c r="I20" s="252" t="str">
        <f>IF(ISERROR(VLOOKUP(H20,Baza!A:C,2,FALSE)&amp;" "&amp;"("&amp;H20&amp;")"),"",(VLOOKUP(H20,Baza!A:C,2,FALSE)&amp;" "&amp;"("&amp;H20&amp;")"))</f>
        <v>Сашо Стојановски (35)</v>
      </c>
      <c r="J20" s="252" t="str">
        <f>IF(ISERROR(VLOOKUP(H20,Baza!A:C,3,FALSE)),"",(VLOOKUP(H20,Baza!A:C,3,FALSE)))</f>
        <v>Работнички</v>
      </c>
      <c r="K20" s="312">
        <f>IF(ISERROR(VLOOKUP(H20,Baza!A:D,4,FALSE)),"",(VLOOKUP(H20,Baza!A:D,4,FALSE)))</f>
        <v>0</v>
      </c>
      <c r="M20" s="239" t="e">
        <f t="shared" si="0"/>
        <v>#N/A</v>
      </c>
      <c r="N20" s="239">
        <v>3</v>
      </c>
      <c r="O20" s="243">
        <v>39</v>
      </c>
    </row>
    <row r="21" spans="2:17">
      <c r="B21" s="352"/>
      <c r="C21" s="270">
        <v>19</v>
      </c>
      <c r="D21" s="287" t="str">
        <f t="shared" si="1"/>
        <v>Славчо Спасеноски  (278)</v>
      </c>
      <c r="E21" s="288" t="str">
        <f t="shared" si="2"/>
        <v>Студент</v>
      </c>
      <c r="F21" s="284">
        <v>21</v>
      </c>
      <c r="G21" s="243">
        <v>6</v>
      </c>
      <c r="H21" s="36">
        <v>499</v>
      </c>
      <c r="I21" s="252" t="str">
        <f>IF(ISERROR(VLOOKUP(H21,Baza!A:C,2,FALSE)&amp;" "&amp;"("&amp;H21&amp;")"),"",(VLOOKUP(H21,Baza!A:C,2,FALSE)&amp;" "&amp;"("&amp;H21&amp;")"))</f>
        <v>Дарко Китановски (499)</v>
      </c>
      <c r="J21" s="252" t="str">
        <f>IF(ISERROR(VLOOKUP(H21,Baza!A:C,3,FALSE)),"",(VLOOKUP(H21,Baza!A:C,3,FALSE)))</f>
        <v>Пелагонија</v>
      </c>
      <c r="K21" s="312">
        <f>IF(ISERROR(VLOOKUP(H21,Baza!A:D,4,FALSE)),"",(VLOOKUP(H21,Baza!A:D,4,FALSE)))</f>
        <v>0</v>
      </c>
      <c r="M21" s="239" t="e">
        <f t="shared" si="0"/>
        <v>#N/A</v>
      </c>
      <c r="N21" s="239">
        <v>21</v>
      </c>
      <c r="O21" s="243">
        <v>39</v>
      </c>
    </row>
    <row r="22" spans="2:17" ht="16.5" thickBot="1">
      <c r="B22" s="355"/>
      <c r="C22" s="271">
        <v>20</v>
      </c>
      <c r="D22" s="291" t="str">
        <f t="shared" si="1"/>
        <v/>
      </c>
      <c r="E22" s="292" t="str">
        <f t="shared" si="2"/>
        <v/>
      </c>
      <c r="F22" s="284">
        <v>17</v>
      </c>
      <c r="G22" s="243">
        <v>18</v>
      </c>
      <c r="H22" s="36">
        <v>85</v>
      </c>
      <c r="I22" s="252" t="str">
        <f>IF(ISERROR(VLOOKUP(H22,Baza!A:C,2,FALSE)&amp;" "&amp;"("&amp;H22&amp;")"),"",(VLOOKUP(H22,Baza!A:C,2,FALSE)&amp;" "&amp;"("&amp;H22&amp;")"))</f>
        <v>Боро Варошлија (85)</v>
      </c>
      <c r="J22" s="252" t="str">
        <f>IF(ISERROR(VLOOKUP(H22,Baza!A:C,3,FALSE)),"",(VLOOKUP(H22,Baza!A:C,3,FALSE)))</f>
        <v>Дебар Маало</v>
      </c>
      <c r="K22" s="312">
        <f>IF(ISERROR(VLOOKUP(H22,Baza!A:D,4,FALSE)),"",(VLOOKUP(H22,Baza!A:D,4,FALSE)))</f>
        <v>0</v>
      </c>
      <c r="M22" s="239" t="e">
        <f t="shared" si="0"/>
        <v>#N/A</v>
      </c>
      <c r="N22" s="239">
        <v>17</v>
      </c>
      <c r="O22" s="243">
        <v>16</v>
      </c>
    </row>
    <row r="23" spans="2:17">
      <c r="B23" s="351" t="s">
        <v>67</v>
      </c>
      <c r="C23" s="269">
        <v>21</v>
      </c>
      <c r="D23" s="285" t="str">
        <f t="shared" si="1"/>
        <v>Сашо Љамов (127)</v>
      </c>
      <c r="E23" s="286">
        <f t="shared" si="2"/>
        <v>0</v>
      </c>
      <c r="F23" s="284">
        <v>18</v>
      </c>
      <c r="G23" s="243">
        <v>11</v>
      </c>
      <c r="H23" s="349">
        <v>49</v>
      </c>
      <c r="I23" s="252" t="str">
        <f>IF(ISERROR(VLOOKUP(H23,Baza!A:C,2,FALSE)&amp;" "&amp;"("&amp;H23&amp;")"),"",(VLOOKUP(H23,Baza!A:C,2,FALSE)&amp;" "&amp;"("&amp;H23&amp;")"))</f>
        <v>Венко Стојанов (49)</v>
      </c>
      <c r="J23" s="252" t="str">
        <f>IF(ISERROR(VLOOKUP(H23,Baza!A:C,3,FALSE)),"",(VLOOKUP(H23,Baza!A:C,3,FALSE)))</f>
        <v>Радовиш</v>
      </c>
      <c r="K23" s="312">
        <f>IF(ISERROR(VLOOKUP(H23,Baza!A:D,4,FALSE)),"",(VLOOKUP(H23,Baza!A:D,4,FALSE)))</f>
        <v>0</v>
      </c>
      <c r="M23" s="239" t="e">
        <f t="shared" si="0"/>
        <v>#N/A</v>
      </c>
      <c r="N23" s="239">
        <v>18</v>
      </c>
      <c r="O23" s="243">
        <v>11</v>
      </c>
    </row>
    <row r="24" spans="2:17">
      <c r="B24" s="352"/>
      <c r="C24" s="270">
        <v>22</v>
      </c>
      <c r="D24" s="287" t="str">
        <f t="shared" si="1"/>
        <v>Марјан Крстев (52)</v>
      </c>
      <c r="E24" s="288" t="str">
        <f t="shared" si="2"/>
        <v>Радовиш</v>
      </c>
      <c r="F24" s="284">
        <v>22</v>
      </c>
      <c r="G24" s="243">
        <v>19</v>
      </c>
      <c r="H24" s="36">
        <v>278</v>
      </c>
      <c r="I24" s="252" t="str">
        <f>IF(ISERROR(VLOOKUP(H24,Baza!A:C,2,FALSE)&amp;" "&amp;"("&amp;H24&amp;")"),"",(VLOOKUP(H24,Baza!A:C,2,FALSE)&amp;" "&amp;"("&amp;H24&amp;")"))</f>
        <v>Славчо Спасеноски  (278)</v>
      </c>
      <c r="J24" s="252" t="str">
        <f>IF(ISERROR(VLOOKUP(H24,Baza!A:C,3,FALSE)),"",(VLOOKUP(H24,Baza!A:C,3,FALSE)))</f>
        <v>Студент</v>
      </c>
      <c r="K24" s="312">
        <f>IF(ISERROR(VLOOKUP(H24,Baza!A:D,4,FALSE)),"",(VLOOKUP(H24,Baza!A:D,4,FALSE)))</f>
        <v>0</v>
      </c>
      <c r="M24" s="239" t="e">
        <f t="shared" si="0"/>
        <v>#N/A</v>
      </c>
      <c r="N24" s="239">
        <v>22</v>
      </c>
      <c r="O24" s="243">
        <v>11</v>
      </c>
    </row>
    <row r="25" spans="2:17">
      <c r="B25" s="352"/>
      <c r="C25" s="270">
        <v>23</v>
      </c>
      <c r="D25" s="287" t="str">
        <f t="shared" si="1"/>
        <v>Јован Ковачовски (139)</v>
      </c>
      <c r="E25" s="288" t="str">
        <f t="shared" si="2"/>
        <v>Берово</v>
      </c>
      <c r="F25" s="284">
        <v>5</v>
      </c>
      <c r="G25" s="243">
        <v>15</v>
      </c>
      <c r="H25" s="36">
        <v>500</v>
      </c>
      <c r="I25" s="252" t="str">
        <f>IF(ISERROR(VLOOKUP(H25,Baza!A:C,2,FALSE)&amp;" "&amp;"("&amp;H25&amp;")"),"",(VLOOKUP(H25,Baza!A:C,2,FALSE)&amp;" "&amp;"("&amp;H25&amp;")"))</f>
        <v>Марко Китановски (500)</v>
      </c>
      <c r="J25" s="252" t="str">
        <f>IF(ISERROR(VLOOKUP(H25,Baza!A:C,3,FALSE)),"",(VLOOKUP(H25,Baza!A:C,3,FALSE)))</f>
        <v>Пелагонија</v>
      </c>
      <c r="K25" s="312">
        <f>IF(ISERROR(VLOOKUP(H25,Baza!A:D,4,FALSE)),"",(VLOOKUP(H25,Baza!A:D,4,FALSE)))</f>
        <v>0</v>
      </c>
      <c r="M25" s="239" t="e">
        <f t="shared" si="0"/>
        <v>#N/A</v>
      </c>
      <c r="N25" s="239">
        <v>5</v>
      </c>
      <c r="O25" s="243">
        <v>10</v>
      </c>
    </row>
    <row r="26" spans="2:17" ht="16.5" thickBot="1">
      <c r="B26" s="353"/>
      <c r="C26" s="272">
        <v>24</v>
      </c>
      <c r="D26" s="289" t="str">
        <f t="shared" si="1"/>
        <v/>
      </c>
      <c r="E26" s="290" t="str">
        <f t="shared" si="2"/>
        <v/>
      </c>
      <c r="F26" s="284">
        <v>8</v>
      </c>
      <c r="G26" s="243">
        <v>3</v>
      </c>
      <c r="H26" s="36">
        <v>106</v>
      </c>
      <c r="I26" s="252" t="str">
        <f>IF(ISERROR(VLOOKUP(H26,Baza!A:C,2,FALSE)&amp;" "&amp;"("&amp;H26&amp;")"),"",(VLOOKUP(H26,Baza!A:C,2,FALSE)&amp;" "&amp;"("&amp;H26&amp;")"))</f>
        <v>Александар Нолевски (106)</v>
      </c>
      <c r="J26" s="252" t="str">
        <f>IF(ISERROR(VLOOKUP(H26,Baza!A:C,3,FALSE)),"",(VLOOKUP(H26,Baza!A:C,3,FALSE)))</f>
        <v>Пелагонија</v>
      </c>
      <c r="K26" s="312">
        <f>IF(ISERROR(VLOOKUP(H26,Baza!A:D,4,FALSE)),"",(VLOOKUP(H26,Baza!A:D,4,FALSE)))</f>
        <v>0</v>
      </c>
      <c r="M26" s="239" t="e">
        <f t="shared" si="0"/>
        <v>#N/A</v>
      </c>
      <c r="N26" s="239">
        <v>8</v>
      </c>
      <c r="O26" s="243">
        <v>8</v>
      </c>
    </row>
    <row r="27" spans="2:17">
      <c r="B27" s="354" t="s">
        <v>68</v>
      </c>
      <c r="C27" s="273">
        <v>25</v>
      </c>
      <c r="D27" s="293" t="str">
        <f t="shared" si="1"/>
        <v>Христијан Јованов (37)</v>
      </c>
      <c r="E27" s="294" t="str">
        <f t="shared" si="2"/>
        <v>Работнички</v>
      </c>
      <c r="F27" s="284">
        <v>9</v>
      </c>
      <c r="G27" s="243">
        <v>27</v>
      </c>
      <c r="H27" s="36">
        <v>32</v>
      </c>
      <c r="I27" s="252" t="str">
        <f>IF(ISERROR(VLOOKUP(H27,Baza!A:C,2,FALSE)&amp;" "&amp;"("&amp;H27&amp;")"),"",(VLOOKUP(H27,Baza!A:C,2,FALSE)&amp;" "&amp;"("&amp;H27&amp;")"))</f>
        <v>Зоран Јованоски  (32)</v>
      </c>
      <c r="J27" s="252" t="str">
        <f>IF(ISERROR(VLOOKUP(H27,Baza!A:C,3,FALSE)),"",(VLOOKUP(H27,Baza!A:C,3,FALSE)))</f>
        <v xml:space="preserve">Младост </v>
      </c>
      <c r="K27" s="312">
        <f>IF(ISERROR(VLOOKUP(H27,Baza!A:D,4,FALSE)),"",(VLOOKUP(H27,Baza!A:D,4,FALSE)))</f>
        <v>0</v>
      </c>
      <c r="M27" s="239" t="e">
        <f t="shared" si="0"/>
        <v>#N/A</v>
      </c>
      <c r="N27" s="239">
        <v>9</v>
      </c>
      <c r="O27" s="243">
        <v>0</v>
      </c>
    </row>
    <row r="28" spans="2:17">
      <c r="B28" s="352"/>
      <c r="C28" s="270">
        <v>26</v>
      </c>
      <c r="D28" s="287" t="str">
        <f t="shared" si="1"/>
        <v>Слободан Грковски (54)</v>
      </c>
      <c r="E28" s="288" t="str">
        <f t="shared" si="2"/>
        <v>Телеком НЕЦ</v>
      </c>
      <c r="F28" s="284">
        <v>16</v>
      </c>
      <c r="G28" s="243">
        <v>39</v>
      </c>
      <c r="H28" s="36">
        <v>299</v>
      </c>
      <c r="I28" s="252" t="str">
        <f>IF(ISERROR(VLOOKUP(H28,Baza!A:C,2,FALSE)&amp;" "&amp;"("&amp;H28&amp;")"),"",(VLOOKUP(H28,Baza!A:C,2,FALSE)&amp;" "&amp;"("&amp;H28&amp;")"))</f>
        <v>Филип Ангела (299)</v>
      </c>
      <c r="J28" s="252" t="str">
        <f>IF(ISERROR(VLOOKUP(H28,Baza!A:C,3,FALSE)),"",(VLOOKUP(H28,Baza!A:C,3,FALSE)))</f>
        <v>Пелагонија</v>
      </c>
      <c r="K28" s="312">
        <f>IF(ISERROR(VLOOKUP(H28,Baza!A:D,4,FALSE)),"",(VLOOKUP(H28,Baza!A:D,4,FALSE)))</f>
        <v>0</v>
      </c>
      <c r="M28" s="239" t="e">
        <f t="shared" si="0"/>
        <v>#N/A</v>
      </c>
      <c r="N28" s="239">
        <v>16</v>
      </c>
      <c r="O28" s="243">
        <v>0</v>
      </c>
    </row>
    <row r="29" spans="2:17">
      <c r="B29" s="352"/>
      <c r="C29" s="270">
        <v>27</v>
      </c>
      <c r="D29" s="287" t="str">
        <f t="shared" si="1"/>
        <v>Зоран Јованоски  (32)</v>
      </c>
      <c r="E29" s="288" t="str">
        <f t="shared" si="2"/>
        <v xml:space="preserve">Младост </v>
      </c>
      <c r="F29" s="284">
        <v>19</v>
      </c>
      <c r="G29" s="243">
        <v>31</v>
      </c>
      <c r="H29" s="36">
        <v>7</v>
      </c>
      <c r="I29" s="252" t="str">
        <f>IF(ISERROR(VLOOKUP(H29,Baza!A:C,2,FALSE)&amp;" "&amp;"("&amp;H29&amp;")"),"",(VLOOKUP(H29,Baza!A:C,2,FALSE)&amp;" "&amp;"("&amp;H29&amp;")"))</f>
        <v>Филе Матевски (7)</v>
      </c>
      <c r="J29" s="252" t="str">
        <f>IF(ISERROR(VLOOKUP(H29,Baza!A:C,3,FALSE)),"",(VLOOKUP(H29,Baza!A:C,3,FALSE)))</f>
        <v>Вардар</v>
      </c>
      <c r="K29" s="312">
        <f>IF(ISERROR(VLOOKUP(H29,Baza!A:D,4,FALSE)),"",(VLOOKUP(H29,Baza!A:D,4,FALSE)))</f>
        <v>0</v>
      </c>
      <c r="M29" s="239" t="e">
        <f t="shared" si="0"/>
        <v>#N/A</v>
      </c>
      <c r="N29" s="239">
        <v>19</v>
      </c>
      <c r="O29" s="243">
        <v>0</v>
      </c>
    </row>
    <row r="30" spans="2:17" ht="16.5" thickBot="1">
      <c r="B30" s="355"/>
      <c r="C30" s="271">
        <v>28</v>
      </c>
      <c r="D30" s="291" t="str">
        <f t="shared" si="1"/>
        <v/>
      </c>
      <c r="E30" s="292" t="str">
        <f t="shared" si="2"/>
        <v/>
      </c>
      <c r="F30" s="284">
        <v>25</v>
      </c>
      <c r="G30" s="243">
        <v>35</v>
      </c>
      <c r="H30" s="36">
        <v>523</v>
      </c>
      <c r="I30" s="252" t="str">
        <f>IF(ISERROR(VLOOKUP(H30,Baza!A:C,2,FALSE)&amp;" "&amp;"("&amp;H30&amp;")"),"",(VLOOKUP(H30,Baza!A:C,2,FALSE)&amp;" "&amp;"("&amp;H30&amp;")"))</f>
        <v>Бранимир Димков (523)</v>
      </c>
      <c r="J30" s="252" t="str">
        <f>IF(ISERROR(VLOOKUP(H30,Baza!A:C,3,FALSE)),"",(VLOOKUP(H30,Baza!A:C,3,FALSE)))</f>
        <v>Прилеп</v>
      </c>
      <c r="K30" s="312">
        <f>IF(ISERROR(VLOOKUP(H30,Baza!A:D,4,FALSE)),"",(VLOOKUP(H30,Baza!A:D,4,FALSE)))</f>
        <v>0</v>
      </c>
      <c r="M30" s="239" t="e">
        <f t="shared" si="0"/>
        <v>#N/A</v>
      </c>
      <c r="N30" s="239">
        <v>25</v>
      </c>
      <c r="O30" s="243">
        <v>0</v>
      </c>
    </row>
    <row r="31" spans="2:17">
      <c r="B31" s="351" t="s">
        <v>69</v>
      </c>
      <c r="C31" s="269">
        <v>29</v>
      </c>
      <c r="D31" s="285" t="str">
        <f t="shared" si="1"/>
        <v>Даниел Главевски Зхоу  (108)</v>
      </c>
      <c r="E31" s="286" t="str">
        <f t="shared" si="2"/>
        <v>Пелагонија</v>
      </c>
      <c r="F31" s="284">
        <v>28</v>
      </c>
      <c r="G31" s="243">
        <v>7</v>
      </c>
      <c r="H31" s="322">
        <v>15</v>
      </c>
      <c r="I31" s="252" t="str">
        <f>IF(ISERROR(VLOOKUP(H31,Baza!A:C,2,FALSE)&amp;" "&amp;"("&amp;H31&amp;")"),"",(VLOOKUP(H31,Baza!A:C,2,FALSE)&amp;" "&amp;"("&amp;H31&amp;")"))</f>
        <v>Лука Огненоски (15)</v>
      </c>
      <c r="J31" s="252" t="str">
        <f>IF(ISERROR(VLOOKUP(H31,Baza!A:C,3,FALSE)),"",(VLOOKUP(H31,Baza!A:C,3,FALSE)))</f>
        <v>Младост 96</v>
      </c>
      <c r="K31" s="312">
        <f>IF(ISERROR(VLOOKUP(H31,Baza!A:D,4,FALSE)),"",(VLOOKUP(H31,Baza!A:D,4,FALSE)))</f>
        <v>0</v>
      </c>
      <c r="M31" s="239" t="e">
        <f t="shared" si="0"/>
        <v>#N/A</v>
      </c>
      <c r="N31" s="239">
        <v>28</v>
      </c>
      <c r="O31" s="243">
        <v>0</v>
      </c>
    </row>
    <row r="32" spans="2:17">
      <c r="B32" s="352"/>
      <c r="C32" s="270">
        <v>30</v>
      </c>
      <c r="D32" s="287" t="str">
        <f t="shared" si="1"/>
        <v>Мартин Калески (122)</v>
      </c>
      <c r="E32" s="288" t="str">
        <f t="shared" si="2"/>
        <v>Прилеп</v>
      </c>
      <c r="F32" s="284">
        <v>29</v>
      </c>
      <c r="G32" s="243">
        <v>23</v>
      </c>
      <c r="H32" s="322">
        <v>139</v>
      </c>
      <c r="I32" s="252" t="str">
        <f>IF(ISERROR(VLOOKUP(H32,Baza!A:C,2,FALSE)&amp;" "&amp;"("&amp;H32&amp;")"),"",(VLOOKUP(H32,Baza!A:C,2,FALSE)&amp;" "&amp;"("&amp;H32&amp;")"))</f>
        <v>Јован Ковачовски (139)</v>
      </c>
      <c r="J32" s="252" t="str">
        <f>IF(ISERROR(VLOOKUP(H32,Baza!A:C,3,FALSE)),"",(VLOOKUP(H32,Baza!A:C,3,FALSE)))</f>
        <v>Берово</v>
      </c>
      <c r="K32" s="312">
        <f>IF(ISERROR(VLOOKUP(H32,Baza!A:D,4,FALSE)),"",(VLOOKUP(H32,Baza!A:D,4,FALSE)))</f>
        <v>0</v>
      </c>
      <c r="M32" s="239" t="e">
        <f t="shared" si="0"/>
        <v>#N/A</v>
      </c>
      <c r="N32" s="239">
        <v>29</v>
      </c>
      <c r="O32" s="243">
        <v>0</v>
      </c>
    </row>
    <row r="33" spans="1:15">
      <c r="B33" s="352"/>
      <c r="C33" s="270">
        <v>31</v>
      </c>
      <c r="D33" s="287" t="str">
        <f t="shared" si="1"/>
        <v>Филе Матевски (7)</v>
      </c>
      <c r="E33" s="288" t="str">
        <f t="shared" si="2"/>
        <v>Вардар</v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5" thickBot="1">
      <c r="B34" s="353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str">
        <f t="shared" si="0"/>
        <v xml:space="preserve">Младост 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>Андреј Стојановски (47)</v>
      </c>
      <c r="E35" s="294" t="str">
        <f t="shared" si="2"/>
        <v>10 60 АС Ѓорче Петров</v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2"/>
      <c r="C36" s="275">
        <v>34</v>
      </c>
      <c r="D36" s="287" t="str">
        <f t="shared" si="1"/>
        <v>Бобан Лашкоски (17)</v>
      </c>
      <c r="E36" s="288" t="str">
        <f t="shared" si="2"/>
        <v>Младост 96</v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2"/>
      <c r="C37" s="275">
        <v>35</v>
      </c>
      <c r="D37" s="287" t="str">
        <f t="shared" si="1"/>
        <v>Бранимир Димков (523)</v>
      </c>
      <c r="E37" s="288" t="str">
        <f t="shared" si="2"/>
        <v>Прилеп</v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str">
        <f t="shared" si="3"/>
        <v>Работнички</v>
      </c>
      <c r="N37" s="239">
        <v>35</v>
      </c>
      <c r="O37" s="243"/>
    </row>
    <row r="38" spans="1:15" ht="16.5" thickBot="1">
      <c r="B38" s="355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1" t="s">
        <v>71</v>
      </c>
      <c r="C39" s="274">
        <v>37</v>
      </c>
      <c r="D39" s="285" t="str">
        <f t="shared" si="1"/>
        <v>Нико Доага (190)</v>
      </c>
      <c r="E39" s="286" t="str">
        <f t="shared" si="2"/>
        <v>Младост</v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str">
        <f t="shared" si="3"/>
        <v>Работнички</v>
      </c>
      <c r="N39" s="239">
        <v>37</v>
      </c>
      <c r="O39" s="243"/>
    </row>
    <row r="40" spans="1:15">
      <c r="B40" s="352"/>
      <c r="C40" s="275">
        <v>38</v>
      </c>
      <c r="D40" s="287" t="str">
        <f t="shared" si="1"/>
        <v>Ѓорѓе Бораниев (365)</v>
      </c>
      <c r="E40" s="288" t="str">
        <f t="shared" si="2"/>
        <v>Радовиш</v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2"/>
      <c r="C41" s="275">
        <v>39</v>
      </c>
      <c r="D41" s="287" t="str">
        <f t="shared" si="1"/>
        <v>Филип Ангела (299)</v>
      </c>
      <c r="E41" s="288" t="str">
        <f t="shared" si="2"/>
        <v>Пелагонија</v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5" thickBot="1">
      <c r="B42" s="353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2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2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5" thickBot="1">
      <c r="B46" s="355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1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2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2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str">
        <f t="shared" si="3"/>
        <v>10 60 АС Ѓорче Петров</v>
      </c>
      <c r="N49" s="239">
        <v>47</v>
      </c>
      <c r="O49" s="243"/>
    </row>
    <row r="50" spans="2:15" ht="16.5" thickBot="1">
      <c r="B50" s="353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str">
        <f t="shared" si="3"/>
        <v>Радовиш</v>
      </c>
      <c r="N51" s="239">
        <v>49</v>
      </c>
      <c r="O51" s="243"/>
    </row>
    <row r="52" spans="2:15">
      <c r="B52" s="352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2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5" thickBot="1">
      <c r="B54" s="355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str">
        <f t="shared" si="3"/>
        <v>Радовиш</v>
      </c>
      <c r="N54" s="239">
        <v>52</v>
      </c>
      <c r="O54" s="243"/>
    </row>
    <row r="55" spans="2:15">
      <c r="B55" s="351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2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str">
        <f t="shared" si="3"/>
        <v>Телеком НЕЦ</v>
      </c>
      <c r="N56" s="239">
        <v>54</v>
      </c>
      <c r="O56" s="243"/>
    </row>
    <row r="57" spans="2:15">
      <c r="B57" s="352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str">
        <f t="shared" si="3"/>
        <v>Телеком НЕЦ</v>
      </c>
      <c r="N57" s="239">
        <v>55</v>
      </c>
      <c r="O57" s="243"/>
    </row>
    <row r="58" spans="2:15" ht="16.5" thickBot="1">
      <c r="B58" s="353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2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2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5" thickBot="1">
      <c r="B62" s="355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1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2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2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5" thickBot="1">
      <c r="B66" s="353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1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5" hidden="1" thickBot="1">
      <c r="B68" s="352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5" hidden="1" thickBot="1">
      <c r="B69" s="352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5" hidden="1" thickBot="1">
      <c r="B70" s="353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5" hidden="1" thickBot="1">
      <c r="B71" s="351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5" hidden="1" thickBot="1">
      <c r="B72" s="352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5" hidden="1" thickBot="1">
      <c r="B73" s="352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5" hidden="1" thickBot="1">
      <c r="B74" s="353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5" hidden="1" thickBot="1">
      <c r="B75" s="351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5" hidden="1" thickBot="1">
      <c r="B76" s="352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5" hidden="1" thickBot="1">
      <c r="B77" s="352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5" hidden="1" thickBot="1">
      <c r="B78" s="353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5" hidden="1" thickBot="1">
      <c r="B79" s="351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5" hidden="1" thickBot="1">
      <c r="B80" s="352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5" hidden="1" thickBot="1">
      <c r="B81" s="352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5" hidden="1" thickBot="1">
      <c r="B82" s="353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5" hidden="1" thickBot="1">
      <c r="B83" s="351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5" hidden="1" thickBot="1">
      <c r="B84" s="352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5" hidden="1" thickBot="1">
      <c r="B85" s="352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5" hidden="1" thickBot="1">
      <c r="B86" s="353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5" hidden="1" thickBot="1">
      <c r="B87" s="351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5" hidden="1" thickBot="1">
      <c r="B88" s="352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5" hidden="1" thickBot="1">
      <c r="B89" s="352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5" hidden="1" thickBot="1">
      <c r="B90" s="353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5" hidden="1" thickBot="1">
      <c r="B91" s="351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5" hidden="1" thickBot="1">
      <c r="B92" s="352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5" hidden="1" thickBot="1">
      <c r="B93" s="352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5" hidden="1" thickBot="1">
      <c r="B94" s="353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5" hidden="1" thickBot="1">
      <c r="B95" s="351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5" hidden="1" thickBot="1">
      <c r="B96" s="352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5" hidden="1" thickBot="1">
      <c r="B97" s="352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5" hidden="1" thickBot="1">
      <c r="B98" s="353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 xr:uid="{00000000-0009-0000-0000-000000000000}">
    <sortState xmlns:xlrd2="http://schemas.microsoft.com/office/spreadsheetml/2017/richdata2" ref="F3:O66">
      <sortCondition descending="1" ref="O2"/>
    </sortState>
  </autoFilter>
  <mergeCells count="26"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  <mergeCell ref="B63:B66"/>
    <mergeCell ref="B27:B30"/>
    <mergeCell ref="B31:B34"/>
    <mergeCell ref="B35:B38"/>
    <mergeCell ref="B39:B42"/>
    <mergeCell ref="B43:B46"/>
    <mergeCell ref="B47:B50"/>
    <mergeCell ref="B87:B90"/>
    <mergeCell ref="B91:B94"/>
    <mergeCell ref="B95:B98"/>
    <mergeCell ref="B67:B70"/>
    <mergeCell ref="B71:B74"/>
    <mergeCell ref="B75:B78"/>
    <mergeCell ref="B79:B82"/>
    <mergeCell ref="B83:B8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0000"/>
  </sheetPr>
  <dimension ref="B1:AU21"/>
  <sheetViews>
    <sheetView workbookViewId="0">
      <selection activeCell="AQ19" sqref="AQ19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9" t="s">
        <v>0</v>
      </c>
      <c r="C1" s="389"/>
      <c r="D1" s="38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Сашо Љамов (127)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IF(GROUPS!F9="","",GROUPS!F9)</f>
        <v>Сашо Љамов (127)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27</v>
      </c>
      <c r="R3" s="380">
        <f>IF(ISERROR(IF(AND(T9="",T13="",T17=""),"",SUM(AB3:AD3)+(N3-O3)/1000)+(AK3/10000)),"",IF(AND(T9="",T13="",T17=""),"",SUM(AB3:AD3)+(N3-O3)/1000)+(AK3/10000)+(AG3/100000))</f>
        <v>4.0105599999999999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Марјан Крстев (52)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5">
        <f>SUM(AH3:AJ3)-SUM(AM3:AO3)</f>
        <v>39</v>
      </c>
      <c r="AL3" s="376"/>
      <c r="AM3" s="10">
        <f>AH5</f>
        <v>13</v>
      </c>
      <c r="AN3" s="10">
        <f>AI4</f>
        <v>14</v>
      </c>
      <c r="AO3" s="10">
        <f>AJ6</f>
        <v>0</v>
      </c>
      <c r="AP3" s="9">
        <f>SUM(AM3:AO3)</f>
        <v>27</v>
      </c>
    </row>
    <row r="4" spans="2:47" ht="24" customHeight="1">
      <c r="B4" s="101">
        <v>2</v>
      </c>
      <c r="C4" s="377" t="str">
        <f>IF(GROUPS!F10="","",GROUPS!F10)</f>
        <v>Марјан Крстев (52)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47</v>
      </c>
      <c r="Q4" s="111">
        <f>IF(AND(T10="",U13="",U18=""),"",AP4)</f>
        <v>53</v>
      </c>
      <c r="R4" s="380">
        <f>IF(ISERROR(IF(AND(T10="",U13="",U18=""),"",SUM(AB4:AD4)+(N4-O4)/1000)+(AK4/10000)+(AG4/100000)),"",IF(AND(T10="",U13="",U18=""),"",SUM(AB4:AD4)+(N4-O4)/1000)+(AK4/10000)+(AG4/100000))</f>
        <v>2.99987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>Јован Ковачовски (139)</v>
      </c>
      <c r="Y4" s="382"/>
      <c r="Z4" s="38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47</v>
      </c>
      <c r="AH4" s="10">
        <f>F10+H10+J10+L10+N10+P10+R10</f>
        <v>0</v>
      </c>
      <c r="AI4" s="10">
        <f>G13+I13+K13+M13+O13+Q13+S13</f>
        <v>14</v>
      </c>
      <c r="AJ4" s="10">
        <f>G18+I18+K18+M18+O18+Q18+S18</f>
        <v>33</v>
      </c>
      <c r="AK4" s="375">
        <f t="shared" ref="AK4:AK6" si="2">SUM(AH4:AJ4)-SUM(AM4:AO4)</f>
        <v>-6</v>
      </c>
      <c r="AL4" s="376"/>
      <c r="AM4" s="10">
        <f>AH6</f>
        <v>0</v>
      </c>
      <c r="AN4" s="10">
        <f>AI3</f>
        <v>33</v>
      </c>
      <c r="AO4" s="10">
        <f>AJ5</f>
        <v>20</v>
      </c>
      <c r="AP4" s="9">
        <f t="shared" ref="AP4:AP6" si="3">SUM(AM4:AO4)</f>
        <v>53</v>
      </c>
    </row>
    <row r="5" spans="2:47" ht="24" customHeight="1">
      <c r="B5" s="101">
        <v>3</v>
      </c>
      <c r="C5" s="377" t="str">
        <f>IF(GROUPS!F11="","",GROUPS!F11)</f>
        <v>Јован Ковачовски (139)</v>
      </c>
      <c r="D5" s="378"/>
      <c r="E5" s="379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33</v>
      </c>
      <c r="Q5" s="111">
        <f>IF(AND(U9="",T14="",T18=""),"",AP5)</f>
        <v>66</v>
      </c>
      <c r="R5" s="380">
        <f>IF(ISERROR(IF(AND(U9="",T14="",T18=""),"",SUM(AB5:AD5)+(N5-O5)/1000)+(AK5/10000)+(AG5/100000)),"",IF(AND(U9="",T14="",T18=""),"",SUM(AB5:AD5)+(N5-O5)/1000)+(AK5/10000)+(AG5/100000))</f>
        <v>1.9910299999999999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381" t="str">
        <f t="shared" si="0"/>
        <v/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33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20</v>
      </c>
      <c r="AK5" s="375">
        <f t="shared" si="2"/>
        <v>-33</v>
      </c>
      <c r="AL5" s="376"/>
      <c r="AM5" s="10">
        <f>AH3</f>
        <v>33</v>
      </c>
      <c r="AN5" s="10">
        <f>AI6</f>
        <v>0</v>
      </c>
      <c r="AO5" s="10">
        <f>AJ4</f>
        <v>33</v>
      </c>
      <c r="AP5" s="9">
        <f t="shared" si="3"/>
        <v>66</v>
      </c>
    </row>
    <row r="6" spans="2:47" ht="24" customHeight="1" thickBot="1">
      <c r="B6" s="116">
        <v>4</v>
      </c>
      <c r="C6" s="371" t="str">
        <f>IF(GROUPS!F12="","",GROUPS!F12)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146</v>
      </c>
      <c r="Q7" s="127">
        <f>SUM(Q3:Q6)</f>
        <v>146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Сашо Љамов (127)</v>
      </c>
      <c r="D9" s="130">
        <v>3</v>
      </c>
      <c r="E9" s="131" t="str">
        <f>IF(C5="","",VLOOKUP(D9,$B$3:$E$6,2,FALSE))</f>
        <v>Јован Ковачовски (139)</v>
      </c>
      <c r="F9" s="132">
        <v>11</v>
      </c>
      <c r="G9" s="133">
        <v>4</v>
      </c>
      <c r="H9" s="134">
        <v>11</v>
      </c>
      <c r="I9" s="133">
        <v>4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Марјан Крстев (52)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Сашо Љамов (127)</v>
      </c>
      <c r="D13" s="130">
        <v>2</v>
      </c>
      <c r="E13" s="131" t="str">
        <f>IF(C4="","",VLOOKUP(D13,$B$3:$E$6,2,FALSE))</f>
        <v>Марјан Крстев (52)</v>
      </c>
      <c r="F13" s="132">
        <v>11</v>
      </c>
      <c r="G13" s="133">
        <v>1</v>
      </c>
      <c r="H13" s="134">
        <v>11</v>
      </c>
      <c r="I13" s="133">
        <v>6</v>
      </c>
      <c r="J13" s="132">
        <v>11</v>
      </c>
      <c r="K13" s="135">
        <v>7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Јован Ковачовски (139)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Сашо Љамов (127)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Јован Ковачовски (139)</v>
      </c>
      <c r="D18" s="140">
        <v>2</v>
      </c>
      <c r="E18" s="141" t="str">
        <f>IF(C4="","",VLOOKUP(D18,$B$3:$E$6,2,FALSE))</f>
        <v>Марјан Крстев (52)</v>
      </c>
      <c r="F18" s="142">
        <v>7</v>
      </c>
      <c r="G18" s="143">
        <v>11</v>
      </c>
      <c r="H18" s="144">
        <v>8</v>
      </c>
      <c r="I18" s="143">
        <v>11</v>
      </c>
      <c r="J18" s="142">
        <v>5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00"/>
  </sheetPr>
  <dimension ref="B1:AU21"/>
  <sheetViews>
    <sheetView workbookViewId="0">
      <selection activeCell="Z11" sqref="Z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9" t="s">
        <v>0</v>
      </c>
      <c r="C1" s="389"/>
      <c r="D1" s="38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Христијан Јованов (37)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IF(GROUPS!H9="","",GROUPS!H9)</f>
        <v>Христијан Јованов (37)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>
        <f>IF(AND(T9="",T13="",T17=""),"",SUM(H3,J3,L3))</f>
        <v>3</v>
      </c>
      <c r="O3" s="109">
        <f>IF(AND(T9="",T13="",T17=""),"",SUM(I3,K3,M3))</f>
        <v>0</v>
      </c>
      <c r="P3" s="110">
        <f>IF(AND(T9="",T13="",T17=""),"",AG3)</f>
        <v>33</v>
      </c>
      <c r="Q3" s="111">
        <f>IF(AND(T9="",T13="",T17=""),"",AP3)</f>
        <v>21</v>
      </c>
      <c r="R3" s="380">
        <f>IF(ISERROR(IF(AND(T9="",T13="",T17=""),"",SUM(AB3:AD3)+(N3-O3)/1000)+(AK3/10000)),"",IF(AND(T9="",T13="",T17=""),"",SUM(AB3:AD3)+(N3-O3)/1000)+(AK3/10000)+(AG3/100000))</f>
        <v>2.0045299999999999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Слободан Грковски (54)</v>
      </c>
      <c r="Y3" s="385"/>
      <c r="Z3" s="386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33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0</v>
      </c>
      <c r="AK3" s="375">
        <f>SUM(AH3:AJ3)-SUM(AM3:AO3)</f>
        <v>12</v>
      </c>
      <c r="AL3" s="376"/>
      <c r="AM3" s="10">
        <f>AH5</f>
        <v>0</v>
      </c>
      <c r="AN3" s="10">
        <f>AI4</f>
        <v>21</v>
      </c>
      <c r="AO3" s="10">
        <f>AJ6</f>
        <v>0</v>
      </c>
      <c r="AP3" s="9">
        <f>SUM(AM3:AO3)</f>
        <v>21</v>
      </c>
    </row>
    <row r="4" spans="2:47" ht="24" customHeight="1">
      <c r="B4" s="101">
        <v>2</v>
      </c>
      <c r="C4" s="377" t="str">
        <f>IF(GROUPS!H10="","",GROUPS!H10)</f>
        <v>Слободан Грковски (54)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3</v>
      </c>
      <c r="P4" s="110">
        <f>IF(AND(T10="",U13="",U18=""),"",AG4)</f>
        <v>21</v>
      </c>
      <c r="Q4" s="111">
        <f>IF(AND(T10="",U13="",U18=""),"",AP4)</f>
        <v>33</v>
      </c>
      <c r="R4" s="380">
        <f>IF(ISERROR(IF(AND(T10="",U13="",U18=""),"",SUM(AB4:AD4)+(N4-O4)/1000)+(AK4/10000)+(AG4/100000)),"",IF(AND(T10="",U13="",U18=""),"",SUM(AB4:AD4)+(N4-O4)/1000)+(AK4/10000)+(AG4/100000))</f>
        <v>0.99601000000000006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/>
      </c>
      <c r="Y4" s="382"/>
      <c r="Z4" s="383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21</v>
      </c>
      <c r="AH4" s="10">
        <f>F10+H10+J10+L10+N10+P10+R10</f>
        <v>0</v>
      </c>
      <c r="AI4" s="10">
        <f>G13+I13+K13+M13+O13+Q13+S13</f>
        <v>21</v>
      </c>
      <c r="AJ4" s="10">
        <f>G18+I18+K18+M18+O18+Q18+S18</f>
        <v>0</v>
      </c>
      <c r="AK4" s="375">
        <f t="shared" ref="AK4:AK6" si="2">SUM(AH4:AJ4)-SUM(AM4:AO4)</f>
        <v>-12</v>
      </c>
      <c r="AL4" s="376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101">
        <v>3</v>
      </c>
      <c r="C5" s="377" t="str">
        <f>IF(GROUPS!H11="","",GROUPS!H11)</f>
        <v>Зоран Јованоски  (32)</v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IF(GROUPS!H12="","",GROUPS!H12)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54</v>
      </c>
      <c r="Q7" s="127">
        <f>SUM(Q3:Q6)</f>
        <v>54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Христијан Јованов (37)</v>
      </c>
      <c r="D9" s="130">
        <v>3</v>
      </c>
      <c r="E9" s="131" t="str">
        <f>IF(C5="","",VLOOKUP(D9,$B$3:$E$6,2,FALSE))</f>
        <v>Зоран Јованоски  (32)</v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Слободан Грковски (54)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Христијан Јованов (37)</v>
      </c>
      <c r="D13" s="130">
        <v>2</v>
      </c>
      <c r="E13" s="131" t="str">
        <f>IF(C4="","",VLOOKUP(D13,$B$3:$E$6,2,FALSE))</f>
        <v>Слободан Грковски (54)</v>
      </c>
      <c r="F13" s="132">
        <v>11</v>
      </c>
      <c r="G13" s="133">
        <v>8</v>
      </c>
      <c r="H13" s="134">
        <v>11</v>
      </c>
      <c r="I13" s="133">
        <v>9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Зоран Јованоски  (32)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Христијан Јованов (37)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Зоран Јованоски  (32)</v>
      </c>
      <c r="D18" s="140">
        <v>2</v>
      </c>
      <c r="E18" s="141" t="str">
        <f>IF(C4="","",VLOOKUP(D18,$B$3:$E$6,2,FALSE))</f>
        <v>Слободан Грковски (54)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0000"/>
  </sheetPr>
  <dimension ref="B1:AU21"/>
  <sheetViews>
    <sheetView workbookViewId="0">
      <selection activeCell="AR12" sqref="AR12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Даниел Главевски Зхоу  (108)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IF(GROUPS!J9="","",GROUPS!J9)</f>
        <v>Даниел Главевски Зхоу  (108)</v>
      </c>
      <c r="D3" s="409"/>
      <c r="E3" s="410"/>
      <c r="F3" s="197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1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2</v>
      </c>
      <c r="P3" s="110">
        <f>IF(AND(T9="",T13="",T17=""),"",AG3)</f>
        <v>84</v>
      </c>
      <c r="Q3" s="111">
        <f>IF(AND(T9="",T13="",T17=""),"",AP3)</f>
        <v>69</v>
      </c>
      <c r="R3" s="380">
        <f>IF(ISERROR(IF(AND(T9="",T13="",T17=""),"",SUM(AB3:AD3)+(N3-O3)/1000)+(AK3/10000)),"",IF(AND(T9="",T13="",T17=""),"",SUM(AB3:AD3)+(N3-O3)/1000)+(AK3/10000)+(AG3/100000))</f>
        <v>4.0063399999999998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Мартин Калески (122)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84</v>
      </c>
      <c r="AH3" s="10">
        <f>F9+H9+J9+L9+N9+P9+R9</f>
        <v>41</v>
      </c>
      <c r="AI3" s="10">
        <f>F13+H13+J13+L13+N13+P13+R13</f>
        <v>43</v>
      </c>
      <c r="AJ3" s="10">
        <f>F17+H17+J17+L17+N17+P17+R17</f>
        <v>0</v>
      </c>
      <c r="AK3" s="375">
        <f>SUM(AH3:AJ3)-SUM(AM3:AO3)</f>
        <v>15</v>
      </c>
      <c r="AL3" s="376"/>
      <c r="AM3" s="10">
        <f>AH5</f>
        <v>34</v>
      </c>
      <c r="AN3" s="10">
        <f>AI4</f>
        <v>35</v>
      </c>
      <c r="AO3" s="10">
        <f>AJ6</f>
        <v>0</v>
      </c>
      <c r="AP3" s="9">
        <f>SUM(AM3:AO3)</f>
        <v>69</v>
      </c>
    </row>
    <row r="4" spans="2:47" ht="24" customHeight="1">
      <c r="B4" s="200">
        <v>2</v>
      </c>
      <c r="C4" s="409" t="str">
        <f>IF(GROUPS!J10="","",GROUPS!J10)</f>
        <v>Мартин Калески (122)</v>
      </c>
      <c r="D4" s="409"/>
      <c r="E4" s="410"/>
      <c r="F4" s="198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2</v>
      </c>
      <c r="L4" s="104" t="str">
        <f>T10</f>
        <v/>
      </c>
      <c r="M4" s="115" t="str">
        <f>U10</f>
        <v/>
      </c>
      <c r="N4" s="108">
        <f>IF(AND(T10="",U13="",U18=""),"",SUM(F4,J4,L4))</f>
        <v>4</v>
      </c>
      <c r="O4" s="109">
        <f>IF(AND(T10="",U13="",U18=""),"",SUM(G4,K4,M4))</f>
        <v>5</v>
      </c>
      <c r="P4" s="110">
        <f>IF(AND(T10="",U13="",U18=""),"",AG4)</f>
        <v>85</v>
      </c>
      <c r="Q4" s="111">
        <f>IF(AND(T10="",U13="",U18=""),"",AP4)</f>
        <v>88</v>
      </c>
      <c r="R4" s="380">
        <f>IF(ISERROR(IF(AND(T10="",U13="",U18=""),"",SUM(AB4:AD4)+(N4-O4)/1000)+(AK4/10000)+(AG4/100000)),"",IF(AND(T10="",U13="",U18=""),"",SUM(AB4:AD4)+(N4-O4)/1000)+(AK4/10000)+(AG4/100000))</f>
        <v>2.9995499999999997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>Филе Матевски (7)</v>
      </c>
      <c r="Y4" s="382"/>
      <c r="Z4" s="38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85</v>
      </c>
      <c r="AH4" s="10">
        <f>F10+H10+J10+L10+N10+P10+R10</f>
        <v>0</v>
      </c>
      <c r="AI4" s="10">
        <f>G13+I13+K13+M13+O13+Q13+S13</f>
        <v>35</v>
      </c>
      <c r="AJ4" s="10">
        <f>G18+I18+K18+M18+O18+Q18+S18</f>
        <v>50</v>
      </c>
      <c r="AK4" s="375">
        <f t="shared" ref="AK4:AK6" si="2">SUM(AH4:AJ4)-SUM(AM4:AO4)</f>
        <v>-3</v>
      </c>
      <c r="AL4" s="376"/>
      <c r="AM4" s="10">
        <f>AH6</f>
        <v>0</v>
      </c>
      <c r="AN4" s="10">
        <f>AI3</f>
        <v>43</v>
      </c>
      <c r="AO4" s="10">
        <f>AJ5</f>
        <v>45</v>
      </c>
      <c r="AP4" s="9">
        <f t="shared" ref="AP4:AP6" si="3">SUM(AM4:AO4)</f>
        <v>88</v>
      </c>
    </row>
    <row r="5" spans="2:47" ht="24" customHeight="1">
      <c r="B5" s="200">
        <v>3</v>
      </c>
      <c r="C5" s="409" t="str">
        <f>IF(GROUPS!J11="","",GROUPS!J11)</f>
        <v>Филе Матевски (7)</v>
      </c>
      <c r="D5" s="409"/>
      <c r="E5" s="410"/>
      <c r="F5" s="198">
        <f>U9</f>
        <v>1</v>
      </c>
      <c r="G5" s="106">
        <f>T9</f>
        <v>3</v>
      </c>
      <c r="H5" s="104">
        <f>T18</f>
        <v>2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3</v>
      </c>
      <c r="O5" s="109">
        <f>IF(AND(U9="",T14="",T18=""),"",SUM(G5,I5,M5))</f>
        <v>6</v>
      </c>
      <c r="P5" s="110">
        <f>IF(AND(U9="",T14="",T18=""),"",AG5)</f>
        <v>79</v>
      </c>
      <c r="Q5" s="111">
        <f>IF(AND(U9="",T14="",T18=""),"",AP5)</f>
        <v>91</v>
      </c>
      <c r="R5" s="380">
        <f>IF(ISERROR(IF(AND(U9="",T14="",T18=""),"",SUM(AB5:AD5)+(N5-O5)/1000)+(AK5/10000)+(AG5/100000)),"",IF(AND(U9="",T14="",T18=""),"",SUM(AB5:AD5)+(N5-O5)/1000)+(AK5/10000)+(AG5/100000))</f>
        <v>1.9965900000000001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381" t="str">
        <f t="shared" si="0"/>
        <v/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79</v>
      </c>
      <c r="AH5" s="10">
        <f>G9+I9+K9+M9+O9+Q9+S9</f>
        <v>34</v>
      </c>
      <c r="AI5" s="10">
        <f>F14+H14+J14+L14+N14+P14+R14</f>
        <v>0</v>
      </c>
      <c r="AJ5" s="10">
        <f>F18+H18+J18+L18+N18+P18+R18</f>
        <v>45</v>
      </c>
      <c r="AK5" s="375">
        <f t="shared" si="2"/>
        <v>-12</v>
      </c>
      <c r="AL5" s="376"/>
      <c r="AM5" s="10">
        <f>AH3</f>
        <v>41</v>
      </c>
      <c r="AN5" s="10">
        <f>AI6</f>
        <v>0</v>
      </c>
      <c r="AO5" s="10">
        <f>AJ4</f>
        <v>50</v>
      </c>
      <c r="AP5" s="9">
        <f t="shared" si="3"/>
        <v>91</v>
      </c>
    </row>
    <row r="6" spans="2:47" ht="24" customHeight="1" thickBot="1">
      <c r="B6" s="201">
        <v>4</v>
      </c>
      <c r="C6" s="414" t="str">
        <f>IF(GROUPS!J12="","",GROUPS!J12)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248</v>
      </c>
      <c r="Q7" s="127">
        <f>SUM(Q3:Q6)</f>
        <v>248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Даниел Главевски Зхоу  (108)</v>
      </c>
      <c r="D9" s="130">
        <v>3</v>
      </c>
      <c r="E9" s="131" t="str">
        <f>IF(C5="","",VLOOKUP(D9,$B$3:$E$6,2,FALSE))</f>
        <v>Филе Матевски (7)</v>
      </c>
      <c r="F9" s="132">
        <v>11</v>
      </c>
      <c r="G9" s="133">
        <v>5</v>
      </c>
      <c r="H9" s="134">
        <v>7</v>
      </c>
      <c r="I9" s="133">
        <v>11</v>
      </c>
      <c r="J9" s="132">
        <v>12</v>
      </c>
      <c r="K9" s="135">
        <v>10</v>
      </c>
      <c r="L9" s="134">
        <v>11</v>
      </c>
      <c r="M9" s="133">
        <v>8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Мартин Калески (122)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Даниел Главевски Зхоу  (108)</v>
      </c>
      <c r="D13" s="130">
        <v>2</v>
      </c>
      <c r="E13" s="131" t="str">
        <f>IF(C4="","",VLOOKUP(D13,$B$3:$E$6,2,FALSE))</f>
        <v>Мартин Калески (122)</v>
      </c>
      <c r="F13" s="132">
        <v>12</v>
      </c>
      <c r="G13" s="133">
        <v>10</v>
      </c>
      <c r="H13" s="134">
        <v>9</v>
      </c>
      <c r="I13" s="133">
        <v>11</v>
      </c>
      <c r="J13" s="132">
        <v>11</v>
      </c>
      <c r="K13" s="135">
        <v>5</v>
      </c>
      <c r="L13" s="134">
        <v>11</v>
      </c>
      <c r="M13" s="133">
        <v>9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Филе Матевски (7)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Даниел Главевски Зхоу  (108)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Филе Матевски (7)</v>
      </c>
      <c r="D18" s="140">
        <v>2</v>
      </c>
      <c r="E18" s="141" t="str">
        <f>IF(C4="","",VLOOKUP(D18,$B$3:$E$6,2,FALSE))</f>
        <v>Мартин Калески (122)</v>
      </c>
      <c r="F18" s="142">
        <v>11</v>
      </c>
      <c r="G18" s="143">
        <v>9</v>
      </c>
      <c r="H18" s="144">
        <v>10</v>
      </c>
      <c r="I18" s="143">
        <v>12</v>
      </c>
      <c r="J18" s="142">
        <v>7</v>
      </c>
      <c r="K18" s="145">
        <v>11</v>
      </c>
      <c r="L18" s="144">
        <v>11</v>
      </c>
      <c r="M18" s="143">
        <v>7</v>
      </c>
      <c r="N18" s="142">
        <v>6</v>
      </c>
      <c r="O18" s="145">
        <v>11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2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0</v>
      </c>
      <c r="AK18" s="10">
        <f>IF(O18="","",IF(O18&gt;N18,1,0))</f>
        <v>1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AU21"/>
  <sheetViews>
    <sheetView workbookViewId="0">
      <selection activeCell="AR15" sqref="AR1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Андреј Стојановски (47)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IF(GROUPS!D14="","",GROUPS!D14)</f>
        <v>Андреј Стојановски (47)</v>
      </c>
      <c r="D3" s="409"/>
      <c r="E3" s="410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70</v>
      </c>
      <c r="Q3" s="111">
        <f>IF(AND(T9="",T13="",T17=""),"",AP3)</f>
        <v>43</v>
      </c>
      <c r="R3" s="380">
        <f>IF(ISERROR(IF(AND(T9="",T13="",T17=""),"",SUM(AB3:AD3)+(N3-O3)/1000)+(AK3/10000)),"",IF(AND(T9="",T13="",T17=""),"",SUM(AB3:AD3)+(N3-O3)/1000)+(AK3/10000)+(AG3/100000))</f>
        <v>4.0094000000000003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Бобан Лашкоски (17)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70</v>
      </c>
      <c r="AH3" s="10">
        <f>F9+H9+J9+L9+N9+P9+R9</f>
        <v>33</v>
      </c>
      <c r="AI3" s="10">
        <f>F13+H13+J13+L13+N13+P13+R13</f>
        <v>37</v>
      </c>
      <c r="AJ3" s="10">
        <f>F17+H17+J17+L17+N17+P17+R17</f>
        <v>0</v>
      </c>
      <c r="AK3" s="375">
        <f>SUM(AH3:AJ3)-SUM(AM3:AO3)</f>
        <v>27</v>
      </c>
      <c r="AL3" s="376"/>
      <c r="AM3" s="10">
        <f>AH5</f>
        <v>17</v>
      </c>
      <c r="AN3" s="10">
        <f>AI4</f>
        <v>26</v>
      </c>
      <c r="AO3" s="10">
        <f>AJ6</f>
        <v>0</v>
      </c>
      <c r="AP3" s="9">
        <f>SUM(AM3:AO3)</f>
        <v>43</v>
      </c>
    </row>
    <row r="4" spans="2:47" ht="24" customHeight="1">
      <c r="B4" s="200">
        <v>2</v>
      </c>
      <c r="C4" s="409" t="str">
        <f>IF(GROUPS!D15="","",GROUPS!D15)</f>
        <v>Бобан Лашкоски (17)</v>
      </c>
      <c r="D4" s="409"/>
      <c r="E4" s="410"/>
      <c r="F4" s="198">
        <f>U13</f>
        <v>0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3</v>
      </c>
      <c r="P4" s="110">
        <f>IF(AND(T10="",U13="",U18=""),"",AG4)</f>
        <v>61</v>
      </c>
      <c r="Q4" s="111">
        <f>IF(AND(T10="",U13="",U18=""),"",AP4)</f>
        <v>56</v>
      </c>
      <c r="R4" s="380">
        <f>IF(ISERROR(IF(AND(T10="",U13="",U18=""),"",SUM(AB4:AD4)+(N4-O4)/1000)+(AK4/10000)+(AG4/100000)),"",IF(AND(T10="",U13="",U18=""),"",SUM(AB4:AD4)+(N4-O4)/1000)+(AK4/10000)+(AG4/100000))</f>
        <v>3.0011100000000002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>Бранимир Димков (523)</v>
      </c>
      <c r="Y4" s="382"/>
      <c r="Z4" s="383"/>
      <c r="AB4" s="10">
        <f>IF(F4="","",IF(F4&gt;G4,2,1))</f>
        <v>1</v>
      </c>
      <c r="AC4" s="10">
        <f>IF(J4="","",IF(J4&gt;K4,2,1))</f>
        <v>2</v>
      </c>
      <c r="AD4" s="10" t="str">
        <f>IF(L4="","",IF(L4&gt;M4,2,1))</f>
        <v/>
      </c>
      <c r="AE4" s="182"/>
      <c r="AG4" s="11">
        <f t="shared" ref="AG4:AG6" si="1">SUM(AH4:AJ4)</f>
        <v>61</v>
      </c>
      <c r="AH4" s="10">
        <f>F10+H10+J10+L10+N10+P10+R10</f>
        <v>0</v>
      </c>
      <c r="AI4" s="10">
        <f>G13+I13+K13+M13+O13+Q13+S13</f>
        <v>26</v>
      </c>
      <c r="AJ4" s="10">
        <f>G18+I18+K18+M18+O18+Q18+S18</f>
        <v>35</v>
      </c>
      <c r="AK4" s="375">
        <f t="shared" ref="AK4:AK6" si="2">SUM(AH4:AJ4)-SUM(AM4:AO4)</f>
        <v>5</v>
      </c>
      <c r="AL4" s="376"/>
      <c r="AM4" s="10">
        <f>AH6</f>
        <v>0</v>
      </c>
      <c r="AN4" s="10">
        <f>AI3</f>
        <v>37</v>
      </c>
      <c r="AO4" s="10">
        <f>AJ5</f>
        <v>19</v>
      </c>
      <c r="AP4" s="9">
        <f t="shared" ref="AP4:AP6" si="3">SUM(AM4:AO4)</f>
        <v>56</v>
      </c>
    </row>
    <row r="5" spans="2:47" ht="24" customHeight="1">
      <c r="B5" s="200">
        <v>3</v>
      </c>
      <c r="C5" s="409" t="str">
        <f>IF(GROUPS!D16="","",GROUPS!D16)</f>
        <v>Бранимир Димков (523)</v>
      </c>
      <c r="D5" s="409"/>
      <c r="E5" s="410"/>
      <c r="F5" s="198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6</v>
      </c>
      <c r="P5" s="110">
        <f>IF(AND(U9="",T14="",T18=""),"",AG5)</f>
        <v>36</v>
      </c>
      <c r="Q5" s="111">
        <f>IF(AND(U9="",T14="",T18=""),"",AP5)</f>
        <v>68</v>
      </c>
      <c r="R5" s="380">
        <f>IF(ISERROR(IF(AND(U9="",T14="",T18=""),"",SUM(AB5:AD5)+(N5-O5)/1000)+(AK5/10000)+(AG5/100000)),"",IF(AND(U9="",T14="",T18=""),"",SUM(AB5:AD5)+(N5-O5)/1000)+(AK5/10000)+(AG5/100000))</f>
        <v>1.9911599999999998</v>
      </c>
      <c r="S5" s="380"/>
      <c r="T5" s="112">
        <f>IF(ISERROR(IF(C5="","",RANK(R5,$R$3:$S$6,0))),"",IF(C5="","",RANK(R5,$R$3:$S$6,0)))</f>
        <v>3</v>
      </c>
      <c r="U5" s="9"/>
      <c r="V5" s="9"/>
      <c r="W5" s="7">
        <v>4</v>
      </c>
      <c r="X5" s="381" t="str">
        <f t="shared" si="0"/>
        <v/>
      </c>
      <c r="Y5" s="382"/>
      <c r="Z5" s="383"/>
      <c r="AB5" s="10">
        <f t="shared" ref="AB5:AB6" si="4">IF(F5="","",IF(F5&gt;G5,2,1))</f>
        <v>1</v>
      </c>
      <c r="AC5" s="10">
        <f>IF(H5="","",IF(H5&gt;I5,2,1))</f>
        <v>1</v>
      </c>
      <c r="AD5" s="10" t="str">
        <f>IF(L5="","",IF(L5&gt;M5,2,1))</f>
        <v/>
      </c>
      <c r="AE5" s="182"/>
      <c r="AG5" s="11">
        <f t="shared" si="1"/>
        <v>36</v>
      </c>
      <c r="AH5" s="10">
        <f>G9+I9+K9+M9+O9+Q9+S9</f>
        <v>17</v>
      </c>
      <c r="AI5" s="10">
        <f>F14+H14+J14+L14+N14+P14+R14</f>
        <v>0</v>
      </c>
      <c r="AJ5" s="10">
        <f>F18+H18+J18+L18+N18+P18+R18</f>
        <v>19</v>
      </c>
      <c r="AK5" s="375">
        <f t="shared" si="2"/>
        <v>-32</v>
      </c>
      <c r="AL5" s="376"/>
      <c r="AM5" s="10">
        <f>AH3</f>
        <v>33</v>
      </c>
      <c r="AN5" s="10">
        <f>AI6</f>
        <v>0</v>
      </c>
      <c r="AO5" s="10">
        <f>AJ4</f>
        <v>35</v>
      </c>
      <c r="AP5" s="9">
        <f t="shared" si="3"/>
        <v>68</v>
      </c>
    </row>
    <row r="6" spans="2:47" ht="24" customHeight="1" thickBot="1">
      <c r="B6" s="201">
        <v>4</v>
      </c>
      <c r="C6" s="414" t="str">
        <f>IF(GROUPS!D17="","",GROUPS!D17)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167</v>
      </c>
      <c r="Q7" s="127">
        <f>SUM(Q3:Q6)</f>
        <v>167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Андреј Стојановски (47)</v>
      </c>
      <c r="D9" s="130">
        <v>3</v>
      </c>
      <c r="E9" s="131" t="str">
        <f>IF(C5="","",VLOOKUP(D9,$B$3:$E$6,2,FALSE))</f>
        <v>Бранимир Димков (523)</v>
      </c>
      <c r="F9" s="132">
        <v>11</v>
      </c>
      <c r="G9" s="133">
        <v>6</v>
      </c>
      <c r="H9" s="134">
        <v>11</v>
      </c>
      <c r="I9" s="133">
        <v>6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Бобан Лашкоски (17)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Андреј Стојановски (47)</v>
      </c>
      <c r="D13" s="130">
        <v>2</v>
      </c>
      <c r="E13" s="131" t="str">
        <f>IF(C4="","",VLOOKUP(D13,$B$3:$E$6,2,FALSE))</f>
        <v>Бобан Лашкоски (17)</v>
      </c>
      <c r="F13" s="132">
        <v>11</v>
      </c>
      <c r="G13" s="133">
        <v>7</v>
      </c>
      <c r="H13" s="134">
        <v>11</v>
      </c>
      <c r="I13" s="133">
        <v>6</v>
      </c>
      <c r="J13" s="132">
        <v>15</v>
      </c>
      <c r="K13" s="135">
        <v>13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Бранимир Димков (523)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Андреј Стојановски (47)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Бранимир Димков (523)</v>
      </c>
      <c r="D18" s="140">
        <v>2</v>
      </c>
      <c r="E18" s="141" t="str">
        <f>IF(C4="","",VLOOKUP(D18,$B$3:$E$6,2,FALSE))</f>
        <v>Бобан Лашкоски (17)</v>
      </c>
      <c r="F18" s="142">
        <v>2</v>
      </c>
      <c r="G18" s="143">
        <v>11</v>
      </c>
      <c r="H18" s="144">
        <v>6</v>
      </c>
      <c r="I18" s="143">
        <v>11</v>
      </c>
      <c r="J18" s="142">
        <v>11</v>
      </c>
      <c r="K18" s="145">
        <v>13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AU21"/>
  <sheetViews>
    <sheetView workbookViewId="0">
      <selection activeCell="Z13" sqref="Z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Ѓорѓе Бораниев (365)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IF(GROUPS!F14="","",GROUPS!F14)</f>
        <v>Нико Доага (190)</v>
      </c>
      <c r="D3" s="409"/>
      <c r="E3" s="410"/>
      <c r="F3" s="197"/>
      <c r="G3" s="103"/>
      <c r="H3" s="104">
        <f>T13</f>
        <v>0</v>
      </c>
      <c r="I3" s="105">
        <f>U13</f>
        <v>3</v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>
        <f>IF(AND(T9="",T13="",T17=""),"",SUM(H3,J3,L3))</f>
        <v>0</v>
      </c>
      <c r="O3" s="109">
        <f>IF(AND(T9="",T13="",T17=""),"",SUM(I3,K3,M3))</f>
        <v>3</v>
      </c>
      <c r="P3" s="110">
        <f>IF(AND(T9="",T13="",T17=""),"",AG3)</f>
        <v>20</v>
      </c>
      <c r="Q3" s="111">
        <f>IF(AND(T9="",T13="",T17=""),"",AP3)</f>
        <v>33</v>
      </c>
      <c r="R3" s="380">
        <f>IF(ISERROR(IF(AND(T9="",T13="",T17=""),"",SUM(AB3:AD3)+(N3-O3)/1000)+(AK3/10000)),"",IF(AND(T9="",T13="",T17=""),"",SUM(AB3:AD3)+(N3-O3)/1000)+(AK3/10000)+(AG3/100000))</f>
        <v>0.99590000000000001</v>
      </c>
      <c r="S3" s="380"/>
      <c r="T3" s="112">
        <f>IF(ISERROR(IF(C3="","",RANK(R3,$R$3:$S$6,0))),"",IF(C3="","",RANK(R3,$R$3:$S$6,0)))</f>
        <v>2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Нико Доага (190)</v>
      </c>
      <c r="Y3" s="385"/>
      <c r="Z3" s="386"/>
      <c r="AB3" s="10">
        <f>IF(H3="","",IF(H3&gt;I3,2,1))</f>
        <v>1</v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20</v>
      </c>
      <c r="AH3" s="10">
        <f>F9+H9+J9+L9+N9+P9+R9</f>
        <v>0</v>
      </c>
      <c r="AI3" s="10">
        <f>F13+H13+J13+L13+N13+P13+R13</f>
        <v>20</v>
      </c>
      <c r="AJ3" s="10">
        <f>F17+H17+J17+L17+N17+P17+R17</f>
        <v>0</v>
      </c>
      <c r="AK3" s="375">
        <f>SUM(AH3:AJ3)-SUM(AM3:AO3)</f>
        <v>-13</v>
      </c>
      <c r="AL3" s="376"/>
      <c r="AM3" s="10">
        <f>AH5</f>
        <v>0</v>
      </c>
      <c r="AN3" s="10">
        <f>AI4</f>
        <v>33</v>
      </c>
      <c r="AO3" s="10">
        <f>AJ6</f>
        <v>0</v>
      </c>
      <c r="AP3" s="9">
        <f>SUM(AM3:AO3)</f>
        <v>33</v>
      </c>
    </row>
    <row r="4" spans="2:47" ht="24" customHeight="1">
      <c r="B4" s="101">
        <v>2</v>
      </c>
      <c r="C4" s="417" t="str">
        <f>IF(GROUPS!F15="","",GROUPS!F15)</f>
        <v>Ѓорѓе Бораниев (365)</v>
      </c>
      <c r="D4" s="409"/>
      <c r="E4" s="410"/>
      <c r="F4" s="198">
        <f>U13</f>
        <v>3</v>
      </c>
      <c r="G4" s="106">
        <f>T13</f>
        <v>0</v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>
        <f>IF(AND(T10="",U13="",U18=""),"",SUM(F4,J4,L4))</f>
        <v>3</v>
      </c>
      <c r="O4" s="109">
        <f>IF(AND(T10="",U13="",U18=""),"",SUM(G4,K4,M4))</f>
        <v>0</v>
      </c>
      <c r="P4" s="110">
        <f>IF(AND(T10="",U13="",U18=""),"",AG4)</f>
        <v>33</v>
      </c>
      <c r="Q4" s="111">
        <f>IF(AND(T10="",U13="",U18=""),"",AP4)</f>
        <v>20</v>
      </c>
      <c r="R4" s="380">
        <f>IF(ISERROR(IF(AND(T10="",U13="",U18=""),"",SUM(AB4:AD4)+(N4-O4)/1000)+(AK4/10000)+(AG4/100000)),"",IF(AND(T10="",U13="",U18=""),"",SUM(AB4:AD4)+(N4-O4)/1000)+(AK4/10000)+(AG4/100000))</f>
        <v>2.0046300000000001</v>
      </c>
      <c r="S4" s="380"/>
      <c r="T4" s="112">
        <f>IF(ISERROR(IF(C4="","",RANK(R4,$R$3:$S$6,0))),"",IF(C4="","",RANK(R4,$R$3:$S$6,0)))</f>
        <v>1</v>
      </c>
      <c r="U4" s="9"/>
      <c r="V4" s="9"/>
      <c r="W4" s="7">
        <v>3</v>
      </c>
      <c r="X4" s="381" t="str">
        <f t="shared" si="0"/>
        <v/>
      </c>
      <c r="Y4" s="382"/>
      <c r="Z4" s="383"/>
      <c r="AB4" s="10">
        <f>IF(F4="","",IF(F4&gt;G4,2,1))</f>
        <v>2</v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33</v>
      </c>
      <c r="AH4" s="10">
        <f>F10+H10+J10+L10+N10+P10+R10</f>
        <v>0</v>
      </c>
      <c r="AI4" s="10">
        <f>G13+I13+K13+M13+O13+Q13+S13</f>
        <v>33</v>
      </c>
      <c r="AJ4" s="10">
        <f>G18+I18+K18+M18+O18+Q18+S18</f>
        <v>0</v>
      </c>
      <c r="AK4" s="375">
        <f t="shared" ref="AK4:AK6" si="2">SUM(AH4:AJ4)-SUM(AM4:AO4)</f>
        <v>13</v>
      </c>
      <c r="AL4" s="376"/>
      <c r="AM4" s="10">
        <f>AH6</f>
        <v>0</v>
      </c>
      <c r="AN4" s="10">
        <f>AI3</f>
        <v>20</v>
      </c>
      <c r="AO4" s="10">
        <f>AJ5</f>
        <v>0</v>
      </c>
      <c r="AP4" s="9">
        <f t="shared" ref="AP4:AP6" si="3">SUM(AM4:AO4)</f>
        <v>20</v>
      </c>
    </row>
    <row r="5" spans="2:47" ht="24" customHeight="1">
      <c r="B5" s="101">
        <v>3</v>
      </c>
      <c r="C5" s="417" t="str">
        <f>IF(GROUPS!F16="","",GROUPS!F16)</f>
        <v>Филип Ангела (299)</v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53</v>
      </c>
      <c r="Q7" s="127">
        <f>SUM(Q3:Q6)</f>
        <v>53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Нико Доага (190)</v>
      </c>
      <c r="D9" s="130">
        <v>3</v>
      </c>
      <c r="E9" s="131" t="str">
        <f>IF(C5="","",VLOOKUP(D9,$B$3:$E$6,2,FALSE))</f>
        <v>Филип Ангела (299)</v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Ѓорѓе Бораниев (365)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Нико Доага (190)</v>
      </c>
      <c r="D13" s="130">
        <v>2</v>
      </c>
      <c r="E13" s="131" t="str">
        <f>IF(C4="","",VLOOKUP(D13,$B$3:$E$6,2,FALSE))</f>
        <v>Ѓорѓе Бораниев (365)</v>
      </c>
      <c r="F13" s="132">
        <v>3</v>
      </c>
      <c r="G13" s="133">
        <v>11</v>
      </c>
      <c r="H13" s="134">
        <v>9</v>
      </c>
      <c r="I13" s="133">
        <v>11</v>
      </c>
      <c r="J13" s="132">
        <v>8</v>
      </c>
      <c r="K13" s="135">
        <v>11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0</v>
      </c>
      <c r="U13" s="137">
        <f>IF(F13="","",SUM(SUMPRODUCT(--(F13&lt;G13)),SUMPRODUCT(--(H13&lt;I13)),SUMPRODUCT(--(J13&lt;K13)),SUMPRODUCT(--(L13&lt;M13)),SUMPRODUCT(--(N13&lt;O13)),SUMPRODUCT(--(P13&lt;Q13)),SUMPRODUCT(--(R13&lt;S13))))</f>
        <v>3</v>
      </c>
      <c r="AB13" s="10">
        <f>IF(F13="","",IF(F13&gt;G13,1,0))</f>
        <v>0</v>
      </c>
      <c r="AC13" s="10">
        <f>IF(G13="","",IF(G13&gt;F13,1,0))</f>
        <v>1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0</v>
      </c>
      <c r="AG13" s="10">
        <f>IF(K13="","",IF(K13&gt;J13,1,0))</f>
        <v>1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Филип Ангела (299)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Нико Доага (190)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Филип Ангела (299)</v>
      </c>
      <c r="D18" s="140">
        <v>2</v>
      </c>
      <c r="E18" s="141" t="str">
        <f>IF(C4="","",VLOOKUP(D18,$B$3:$E$6,2,FALSE))</f>
        <v>Ѓорѓе Бораниев (365)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AU21"/>
  <sheetViews>
    <sheetView topLeftCell="D1"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IF(GROUPS!H14="","",GROUPS!H14)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IF(GROUPS!H15="","",GROUPS!H15)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IF(GROUPS!H16="","",GROUPS!H16)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IF(GROUPS!H17="","",GROUPS!H17)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customWidth="1"/>
    <col min="28" max="41" width="4.140625" style="11" customWidth="1"/>
    <col min="42" max="42" width="4.140625" style="9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IF(GROUPS!J14="","",GROUPS!J14)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9" t="str">
        <f>IF(GROUPS!J15="","",GROUPS!J15)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9" t="str">
        <f>IF(GROUPS!J16="","",GROUPS!J16)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IF(GROUPS!J17="","",GROUPS!J17)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8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17" t="str">
        <f>IF(GROUPS!D19="","",GROUPS!D19)</f>
        <v/>
      </c>
      <c r="D3" s="409"/>
      <c r="E3" s="410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IF(GROUPS!D20="","",GROUPS!D20)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IF(GROUPS!D21="","",GROUPS!D21)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IF(GROUPS!F19="","",GROUPS!F19)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IF(GROUPS!F20="","",GROUPS!F20)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IF(GROUPS!F21="","",GROUPS!F21)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IF(GROUPS!H19="","",GROUPS!H19)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IF(GROUPS!H20="","",GROUPS!H20)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IF(GROUPS!H21="","",GROUPS!H21)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7030A0"/>
  </sheetPr>
  <dimension ref="C1:J33"/>
  <sheetViews>
    <sheetView showGridLines="0" workbookViewId="0">
      <selection activeCell="N10" sqref="N10"/>
    </sheetView>
  </sheetViews>
  <sheetFormatPr defaultRowHeight="15"/>
  <cols>
    <col min="1" max="1" width="0.7109375" customWidth="1"/>
    <col min="2" max="2" width="2.42578125" customWidth="1"/>
    <col min="3" max="3" width="3.140625" style="2" customWidth="1"/>
    <col min="4" max="4" width="31" customWidth="1"/>
    <col min="5" max="5" width="3.140625" style="2" customWidth="1"/>
    <col min="6" max="6" width="31" customWidth="1"/>
    <col min="7" max="7" width="3.140625" style="2" customWidth="1"/>
    <col min="8" max="8" width="31" customWidth="1"/>
    <col min="9" max="9" width="3.140625" style="2" customWidth="1"/>
    <col min="10" max="10" width="31" customWidth="1"/>
  </cols>
  <sheetData>
    <row r="1" spans="3:10">
      <c r="F1" s="346" t="s">
        <v>846</v>
      </c>
    </row>
    <row r="3" spans="3:10" ht="26.25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75">
      <c r="C4" s="32">
        <v>1</v>
      </c>
      <c r="D4" s="33" t="str">
        <f>IF(VLOOKUP(C4,PARTICIPANTS!$C$3:$D$98,2,FALSE)="","",(VLOOKUP(C4,PARTICIPANTS!$C$3:$D$98,2,FALSE)))</f>
        <v>Филип Младеновски (70)</v>
      </c>
      <c r="E4" s="32">
        <f>C4+4</f>
        <v>5</v>
      </c>
      <c r="F4" s="33" t="str">
        <f>IF(VLOOKUP(E4,PARTICIPANTS!$C$3:$D$98,2,FALSE)="","",(VLOOKUP(E4,PARTICIPANTS!$C$3:$D$98,2,FALSE)))</f>
        <v>Алeксандар Марковиќ (3)</v>
      </c>
      <c r="G4" s="32">
        <f>E4+4</f>
        <v>9</v>
      </c>
      <c r="H4" s="33" t="str">
        <f>IF(VLOOKUP(G4,PARTICIPANTS!$C$3:$D$98,2,FALSE)="","",(VLOOKUP(G4,PARTICIPANTS!$C$3:$D$98,2,FALSE)))</f>
        <v>Христијан Јовановски  (2)</v>
      </c>
      <c r="I4" s="32">
        <f>G4+4</f>
        <v>13</v>
      </c>
      <c r="J4" s="33" t="str">
        <f>IF(VLOOKUP(I4,PARTICIPANTS!$C$3:$D$98,2,FALSE)="","",(VLOOKUP(I4,PARTICIPANTS!$C$3:$D$98,2,FALSE)))</f>
        <v>Лука Стојчев (73)</v>
      </c>
    </row>
    <row r="5" spans="3:10" s="34" customFormat="1" ht="15.75">
      <c r="C5" s="32">
        <v>2</v>
      </c>
      <c r="D5" s="33" t="str">
        <f>IF(VLOOKUP(C5,PARTICIPANTS!$C$3:$D$98,2,FALSE)="","",(VLOOKUP(C5,PARTICIPANTS!$C$3:$D$98,2,FALSE)))</f>
        <v>Мирослав Симиќ (55)</v>
      </c>
      <c r="E5" s="32">
        <f t="shared" ref="E5:I7" si="0">C5+4</f>
        <v>6</v>
      </c>
      <c r="F5" s="33" t="str">
        <f>IF(VLOOKUP(E5,PARTICIPANTS!$C$3:$D$98,2,FALSE)="","",(VLOOKUP(E5,PARTICIPANTS!$C$3:$D$98,2,FALSE)))</f>
        <v>Дарко Китановски (499)</v>
      </c>
      <c r="G5" s="32">
        <f t="shared" si="0"/>
        <v>10</v>
      </c>
      <c r="H5" s="33" t="str">
        <f>IF(VLOOKUP(G5,PARTICIPANTS!$C$3:$D$98,2,FALSE)="","",(VLOOKUP(G5,PARTICIPANTS!$C$3:$D$98,2,FALSE)))</f>
        <v>Сашо Стојановски (35)</v>
      </c>
      <c r="I5" s="32">
        <f t="shared" si="0"/>
        <v>14</v>
      </c>
      <c r="J5" s="33" t="str">
        <f>IF(VLOOKUP(I5,PARTICIPANTS!$C$3:$D$98,2,FALSE)="","",(VLOOKUP(I5,PARTICIPANTS!$C$3:$D$98,2,FALSE)))</f>
        <v>Зоран Димитријевски (74)</v>
      </c>
    </row>
    <row r="6" spans="3:10" s="34" customFormat="1" ht="15.75">
      <c r="C6" s="32">
        <v>3</v>
      </c>
      <c r="D6" s="33" t="str">
        <f>IF(VLOOKUP(C6,PARTICIPANTS!$C$3:$D$98,2,FALSE)="","",(VLOOKUP(C6,PARTICIPANTS!$C$3:$D$98,2,FALSE)))</f>
        <v>Александар Нолевски (106)</v>
      </c>
      <c r="E6" s="32">
        <f t="shared" si="0"/>
        <v>7</v>
      </c>
      <c r="F6" s="33" t="str">
        <f>IF(VLOOKUP(E6,PARTICIPANTS!$C$3:$D$98,2,FALSE)="","",(VLOOKUP(E6,PARTICIPANTS!$C$3:$D$98,2,FALSE)))</f>
        <v>Лука Огненоски (15)</v>
      </c>
      <c r="G6" s="32">
        <f t="shared" si="0"/>
        <v>11</v>
      </c>
      <c r="H6" s="33" t="str">
        <f>IF(VLOOKUP(G6,PARTICIPANTS!$C$3:$D$98,2,FALSE)="","",(VLOOKUP(G6,PARTICIPANTS!$C$3:$D$98,2,FALSE)))</f>
        <v>Венко Стојанов (49)</v>
      </c>
      <c r="I6" s="32">
        <f t="shared" si="0"/>
        <v>15</v>
      </c>
      <c r="J6" s="33" t="str">
        <f>IF(VLOOKUP(I6,PARTICIPANTS!$C$3:$D$98,2,FALSE)="","",(VLOOKUP(I6,PARTICIPANTS!$C$3:$D$98,2,FALSE)))</f>
        <v>Марко Китановски (500)</v>
      </c>
    </row>
    <row r="7" spans="3:10" s="34" customFormat="1" ht="15.75">
      <c r="C7" s="32">
        <v>4</v>
      </c>
      <c r="D7" s="33" t="str">
        <f>IF(VLOOKUP(C7,PARTICIPANTS!$C$3:$D$98,2,FALSE)="","",(VLOOKUP(C7,PARTICIPANTS!$C$3:$D$98,2,FALSE)))</f>
        <v/>
      </c>
      <c r="E7" s="32">
        <f t="shared" si="0"/>
        <v>8</v>
      </c>
      <c r="F7" s="33" t="str">
        <f>IF(VLOOKUP(E7,PARTICIPANTS!$C$3:$D$98,2,FALSE)="","",(VLOOKUP(E7,PARTICIPANTS!$C$3:$D$98,2,FALSE)))</f>
        <v/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6.25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75">
      <c r="C9" s="32">
        <v>17</v>
      </c>
      <c r="D9" s="33" t="str">
        <f>IF(VLOOKUP(C9,PARTICIPANTS!$C$3:$D$98,2,FALSE)="","",(VLOOKUP(C9,PARTICIPANTS!$C$3:$D$98,2,FALSE)))</f>
        <v>Александар Јакимовски (178)</v>
      </c>
      <c r="E9" s="32">
        <f>C9+4</f>
        <v>21</v>
      </c>
      <c r="F9" s="33" t="str">
        <f>IF(VLOOKUP(E9,PARTICIPANTS!$C$3:$D$98,2,FALSE)="","",(VLOOKUP(E9,PARTICIPANTS!$C$3:$D$98,2,FALSE)))</f>
        <v>Сашо Љамов (127)</v>
      </c>
      <c r="G9" s="32">
        <f>E9+4</f>
        <v>25</v>
      </c>
      <c r="H9" s="33" t="str">
        <f>IF(VLOOKUP(G9,PARTICIPANTS!$C$3:$D$98,2,FALSE)="","",(VLOOKUP(G9,PARTICIPANTS!$C$3:$D$98,2,FALSE)))</f>
        <v>Христијан Јованов (37)</v>
      </c>
      <c r="I9" s="32">
        <f>G9+4</f>
        <v>29</v>
      </c>
      <c r="J9" s="33" t="str">
        <f>IF(VLOOKUP(I9,PARTICIPANTS!$C$3:$D$98,2,FALSE)="","",(VLOOKUP(I9,PARTICIPANTS!$C$3:$D$98,2,FALSE)))</f>
        <v>Даниел Главевски Зхоу  (108)</v>
      </c>
    </row>
    <row r="10" spans="3:10" s="34" customFormat="1" ht="15.75">
      <c r="C10" s="32">
        <v>18</v>
      </c>
      <c r="D10" s="33" t="str">
        <f>IF(VLOOKUP(C10,PARTICIPANTS!$C$3:$D$98,2,FALSE)="","",(VLOOKUP(C10,PARTICIPANTS!$C$3:$D$98,2,FALSE)))</f>
        <v>Боро Варошлија (85)</v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>Марјан Крстев (52)</v>
      </c>
      <c r="G10" s="32">
        <f t="shared" si="1"/>
        <v>26</v>
      </c>
      <c r="H10" s="33" t="str">
        <f>IF(VLOOKUP(G10,PARTICIPANTS!$C$3:$D$98,2,FALSE)="","",(VLOOKUP(G10,PARTICIPANTS!$C$3:$D$98,2,FALSE)))</f>
        <v>Слободан Грковски (54)</v>
      </c>
      <c r="I10" s="32">
        <f t="shared" si="1"/>
        <v>30</v>
      </c>
      <c r="J10" s="33" t="str">
        <f>IF(VLOOKUP(I10,PARTICIPANTS!$C$3:$D$98,2,FALSE)="","",(VLOOKUP(I10,PARTICIPANTS!$C$3:$D$98,2,FALSE)))</f>
        <v>Мартин Калески (122)</v>
      </c>
    </row>
    <row r="11" spans="3:10" s="34" customFormat="1" ht="15.75">
      <c r="C11" s="32">
        <v>19</v>
      </c>
      <c r="D11" s="33" t="str">
        <f>IF(VLOOKUP(C11,PARTICIPANTS!$C$3:$D$98,2,FALSE)="","",(VLOOKUP(C11,PARTICIPANTS!$C$3:$D$98,2,FALSE)))</f>
        <v>Славчо Спасеноски  (278)</v>
      </c>
      <c r="E11" s="32">
        <f t="shared" si="1"/>
        <v>23</v>
      </c>
      <c r="F11" s="33" t="str">
        <f>IF(VLOOKUP(E11,PARTICIPANTS!$C$3:$D$98,2,FALSE)="","",(VLOOKUP(E11,PARTICIPANTS!$C$3:$D$98,2,FALSE)))</f>
        <v>Јован Ковачовски (139)</v>
      </c>
      <c r="G11" s="32">
        <f t="shared" si="1"/>
        <v>27</v>
      </c>
      <c r="H11" s="33" t="str">
        <f>IF(VLOOKUP(G11,PARTICIPANTS!$C$3:$D$98,2,FALSE)="","",(VLOOKUP(G11,PARTICIPANTS!$C$3:$D$98,2,FALSE)))</f>
        <v>Зоран Јованоски  (32)</v>
      </c>
      <c r="I11" s="32">
        <f t="shared" si="1"/>
        <v>31</v>
      </c>
      <c r="J11" s="33" t="str">
        <f>IF(VLOOKUP(I11,PARTICIPANTS!$C$3:$D$98,2,FALSE)="","",(VLOOKUP(I11,PARTICIPANTS!$C$3:$D$98,2,FALSE)))</f>
        <v>Филе Матевски (7)</v>
      </c>
    </row>
    <row r="12" spans="3:10" s="34" customFormat="1" ht="15.75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6.25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75">
      <c r="C14" s="32">
        <v>33</v>
      </c>
      <c r="D14" s="33" t="str">
        <f>IF(VLOOKUP(C14,PARTICIPANTS!$C$3:$D$98,2,FALSE)="","",(VLOOKUP(C14,PARTICIPANTS!$C$3:$D$98,2,FALSE)))</f>
        <v>Андреј Стојановски (47)</v>
      </c>
      <c r="E14" s="32">
        <f>C14+4</f>
        <v>37</v>
      </c>
      <c r="F14" s="33" t="str">
        <f>IF(VLOOKUP(E14,PARTICIPANTS!$C$3:$D$98,2,FALSE)="","",(VLOOKUP(E14,PARTICIPANTS!$C$3:$D$98,2,FALSE)))</f>
        <v>Нико Доага (190)</v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75">
      <c r="C15" s="32">
        <v>34</v>
      </c>
      <c r="D15" s="33" t="str">
        <f>IF(VLOOKUP(C15,PARTICIPANTS!$C$3:$D$98,2,FALSE)="","",(VLOOKUP(C15,PARTICIPANTS!$C$3:$D$98,2,FALSE)))</f>
        <v>Бобан Лашкоски (17)</v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>Ѓорѓе Бораниев (365)</v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75">
      <c r="C16" s="32">
        <v>35</v>
      </c>
      <c r="D16" s="33" t="str">
        <f>IF(VLOOKUP(C16,PARTICIPANTS!$C$3:$D$98,2,FALSE)="","",(VLOOKUP(C16,PARTICIPANTS!$C$3:$D$98,2,FALSE)))</f>
        <v>Бранимир Димков (523)</v>
      </c>
      <c r="E16" s="32">
        <f t="shared" si="2"/>
        <v>39</v>
      </c>
      <c r="F16" s="33" t="str">
        <f>IF(VLOOKUP(E16,PARTICIPANTS!$C$3:$D$98,2,FALSE)="","",(VLOOKUP(E16,PARTICIPANTS!$C$3:$D$98,2,FALSE)))</f>
        <v>Филип Ангела (299)</v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75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6.25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75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75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75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75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6.25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75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75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75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75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6.25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75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75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75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75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75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AU21"/>
  <sheetViews>
    <sheetView workbookViewId="0">
      <selection activeCell="E7" sqref="E7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19" t="s">
        <v>3</v>
      </c>
      <c r="D2" s="419"/>
      <c r="E2" s="420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421" t="str">
        <f>IF(GROUPS!J19="","",GROUPS!J19)</f>
        <v/>
      </c>
      <c r="D3" s="422"/>
      <c r="E3" s="423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7" t="str">
        <f>IF(GROUPS!J20="","",GROUPS!J20)</f>
        <v/>
      </c>
      <c r="D4" s="409"/>
      <c r="E4" s="410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7" t="str">
        <f>IF(GROUPS!J21="","",GROUPS!J21)</f>
        <v/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B1:AP52"/>
  <sheetViews>
    <sheetView zoomScale="70" zoomScaleNormal="70" workbookViewId="0">
      <selection activeCell="C12" sqref="C12:D14"/>
    </sheetView>
  </sheetViews>
  <sheetFormatPr defaultRowHeight="15"/>
  <cols>
    <col min="2" max="2" width="11.5703125" customWidth="1"/>
    <col min="4" max="4" width="31.4257812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2">
      <c r="C1" s="434" t="s">
        <v>61</v>
      </c>
      <c r="D1" s="43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.75" thickBot="1">
      <c r="B2" s="238" t="s">
        <v>125</v>
      </c>
      <c r="C2" s="238" t="s">
        <v>78</v>
      </c>
    </row>
    <row r="3" spans="2:42" ht="15.75">
      <c r="B3" s="212" t="s">
        <v>25</v>
      </c>
      <c r="C3" s="213">
        <v>1</v>
      </c>
      <c r="D3" s="207" t="str">
        <f>IF(' I'!$X$2="","",' I'!$X$2)</f>
        <v>Филип Младеновски (70)</v>
      </c>
    </row>
    <row r="4" spans="2:42" ht="16.5" thickBot="1">
      <c r="B4" s="214" t="s">
        <v>55</v>
      </c>
      <c r="C4" s="215">
        <v>2</v>
      </c>
      <c r="D4" s="208" t="str">
        <f>IF(' I'!$X$3="","",' I'!$X$3)</f>
        <v>Александар Нолевски (106)</v>
      </c>
    </row>
    <row r="5" spans="2:42" ht="15.75">
      <c r="B5" s="218" t="s">
        <v>27</v>
      </c>
      <c r="C5" s="210">
        <v>3</v>
      </c>
      <c r="D5" s="211" t="str">
        <f>IF(' II'!$X$2="","",' II'!$X$2)</f>
        <v>Алeксандар Марковиќ (3)</v>
      </c>
    </row>
    <row r="6" spans="2:42" ht="16.5" thickBot="1">
      <c r="B6" s="219" t="s">
        <v>54</v>
      </c>
      <c r="C6" s="216">
        <v>4</v>
      </c>
      <c r="D6" s="217" t="str">
        <f>IF(' II'!$X$3="","",' II'!$X$3)</f>
        <v>Лука Огненоски (15)</v>
      </c>
    </row>
    <row r="7" spans="2:42" ht="15.75">
      <c r="B7" s="212" t="s">
        <v>29</v>
      </c>
      <c r="C7" s="213">
        <v>5</v>
      </c>
      <c r="D7" s="207" t="str">
        <f>IF(' III'!$X$2="","",' III'!$X$2)</f>
        <v>Венко Стојанов (49)</v>
      </c>
      <c r="F7" s="254">
        <v>1</v>
      </c>
      <c r="G7" s="96" t="str">
        <f>IF(F7="","",VLOOKUP(F7,$C$3:$D$8,2,FALSE))</f>
        <v>Филип Младеновски (70)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5" thickBot="1">
      <c r="B8" s="214" t="s">
        <v>53</v>
      </c>
      <c r="C8" s="215">
        <v>6</v>
      </c>
      <c r="D8" s="208" t="str">
        <f>IF(' III'!$X$3="","",' III'!$X$3)</f>
        <v>Христијан Јовановски  (2)</v>
      </c>
      <c r="O8" s="253"/>
    </row>
    <row r="9" spans="2:42" ht="15.75">
      <c r="B9" s="35"/>
      <c r="C9" s="35"/>
      <c r="D9" s="2"/>
      <c r="O9" s="8"/>
      <c r="P9" s="76"/>
    </row>
    <row r="10" spans="2:42" ht="15.75">
      <c r="B10" s="35"/>
      <c r="C10" s="35"/>
      <c r="D10" s="2"/>
      <c r="O10" s="8"/>
      <c r="P10" s="76"/>
    </row>
    <row r="11" spans="2:42" ht="15.75">
      <c r="B11" s="35"/>
      <c r="C11" s="35"/>
      <c r="D11" s="2"/>
      <c r="P11" s="76"/>
    </row>
    <row r="12" spans="2:42" ht="15.75">
      <c r="B12" s="35"/>
      <c r="C12" s="35"/>
      <c r="D12" s="315"/>
      <c r="P12" s="76"/>
      <c r="AN12" s="45"/>
    </row>
    <row r="13" spans="2:42" ht="15.75">
      <c r="B13" s="35"/>
      <c r="C13" s="35"/>
      <c r="D13" s="315"/>
      <c r="P13" s="76"/>
      <c r="Q13" s="95" t="str">
        <f>G7</f>
        <v>Филип Младеновски (70)</v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2" ht="15.75">
      <c r="B14" s="35"/>
      <c r="C14" s="35"/>
      <c r="D14" s="315"/>
      <c r="P14" s="82"/>
      <c r="Q14" s="95" t="str">
        <f>IF(O19="","",IF(O19&gt;O20,G19,G20))</f>
        <v>Лука Огненоски (15)</v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2" ht="15.75">
      <c r="C15" s="35"/>
      <c r="D15" s="2"/>
      <c r="P15" s="76"/>
      <c r="Y15" s="79"/>
      <c r="AN15" s="436" t="str">
        <f>IF(AJ25="","",IF(AJ25&gt;AJ26,AB25,AB26))</f>
        <v/>
      </c>
    </row>
    <row r="16" spans="2:42" ht="15.75">
      <c r="C16" s="35"/>
      <c r="D16" s="2"/>
      <c r="P16" s="76"/>
      <c r="Y16" s="80"/>
      <c r="AM16" s="436" t="str">
        <f>IF(AJ25="","",IF(AJ25&lt;AJ26,AB25,AB26))</f>
        <v/>
      </c>
      <c r="AN16" s="436"/>
      <c r="AO16" s="437" t="str">
        <f>IF(AJ25=AJ26,"",IF(AJ34=AJ35,AB34,IF(AJ34&gt;AJ35,AB34,AB35)))</f>
        <v/>
      </c>
    </row>
    <row r="17" spans="3:42" ht="15.75">
      <c r="C17" s="35"/>
      <c r="D17" s="2"/>
      <c r="P17" s="76"/>
      <c r="Y17" s="80"/>
      <c r="AJ17" s="8"/>
      <c r="AM17" s="436"/>
      <c r="AN17" s="436"/>
      <c r="AO17" s="437"/>
    </row>
    <row r="18" spans="3:42" ht="15.75">
      <c r="C18" s="35"/>
      <c r="D18" s="2"/>
      <c r="P18" s="76"/>
      <c r="Y18" s="80"/>
      <c r="AJ18" s="8"/>
      <c r="AM18" s="436"/>
      <c r="AO18" s="437"/>
    </row>
    <row r="19" spans="3:42" ht="16.5" thickBot="1">
      <c r="C19" s="35"/>
      <c r="D19" s="2"/>
      <c r="F19" s="254"/>
      <c r="G19" s="96" t="str">
        <f>IF(F19="","",VLOOKUP(F19,$C$3:$D$8,2,FALSE))</f>
        <v/>
      </c>
      <c r="H19" s="75">
        <v>0</v>
      </c>
      <c r="I19" s="75"/>
      <c r="J19" s="75"/>
      <c r="K19" s="75"/>
      <c r="L19" s="75"/>
      <c r="M19" s="75"/>
      <c r="N19" s="75"/>
      <c r="O19" s="17">
        <f>IF(H19="","",SUMPRODUCT(--(H19:N19&gt;H20:N20)))</f>
        <v>0</v>
      </c>
      <c r="Y19" s="80"/>
      <c r="AO19" s="438" t="str">
        <f>IF(AJ25=AJ26,"",IF(OR(AJ34&gt;AJ35,AJ34&lt;AJ35),"",AB35))</f>
        <v/>
      </c>
    </row>
    <row r="20" spans="3:42" ht="16.5" thickBot="1">
      <c r="C20" s="35"/>
      <c r="D20" s="2"/>
      <c r="F20" s="254">
        <v>4</v>
      </c>
      <c r="G20" s="96" t="str">
        <f>IF(F20="","",VLOOKUP(F20,$C$3:$D$8,2,FALSE))</f>
        <v>Лука Огненоски (15)</v>
      </c>
      <c r="H20" s="75">
        <v>11</v>
      </c>
      <c r="I20" s="75"/>
      <c r="J20" s="75"/>
      <c r="K20" s="75"/>
      <c r="L20" s="75"/>
      <c r="M20" s="75"/>
      <c r="N20" s="75"/>
      <c r="O20" s="17">
        <f>IF(H19="","",SUMPRODUCT(--(H19:N19&lt;H20:N20)))</f>
        <v>1</v>
      </c>
      <c r="Y20" s="80"/>
      <c r="AN20" s="439" t="s">
        <v>58</v>
      </c>
      <c r="AO20" s="438"/>
    </row>
    <row r="21" spans="3:42" ht="16.5" thickBot="1">
      <c r="C21" s="35"/>
      <c r="D21" s="2"/>
      <c r="Y21" s="80"/>
      <c r="AM21" s="442" t="s">
        <v>59</v>
      </c>
      <c r="AN21" s="440"/>
      <c r="AO21" s="438"/>
    </row>
    <row r="22" spans="3:42" ht="15.75">
      <c r="C22" s="35"/>
      <c r="D22" s="2"/>
      <c r="Y22" s="80"/>
      <c r="AM22" s="443"/>
      <c r="AN22" s="440"/>
      <c r="AO22" s="445" t="s">
        <v>60</v>
      </c>
    </row>
    <row r="23" spans="3:42" ht="16.5" thickBot="1">
      <c r="C23" s="35"/>
      <c r="D23" s="2"/>
      <c r="Y23" s="80"/>
      <c r="AM23" s="444"/>
      <c r="AN23" s="441"/>
      <c r="AO23" s="446"/>
    </row>
    <row r="24" spans="3:42" ht="15.75">
      <c r="C24" s="35"/>
      <c r="D24" s="2"/>
      <c r="Y24" s="80"/>
    </row>
    <row r="25" spans="3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3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3:42" ht="15.75">
      <c r="C27" s="35"/>
      <c r="D27" s="2"/>
      <c r="Y27" s="80"/>
      <c r="AA27" s="38"/>
      <c r="AL27" s="425" t="s">
        <v>81</v>
      </c>
      <c r="AM27" s="426"/>
      <c r="AN27" s="426"/>
      <c r="AO27" s="426"/>
      <c r="AP27" s="427"/>
    </row>
    <row r="28" spans="3:42" ht="15.75">
      <c r="C28" s="35"/>
      <c r="D28" s="2"/>
      <c r="Y28" s="80"/>
      <c r="AA28" s="38"/>
      <c r="AL28" s="307">
        <v>1</v>
      </c>
      <c r="AM28" s="308" t="s">
        <v>82</v>
      </c>
      <c r="AN28" s="428" t="str">
        <f>IF(AJ25="","",IF(AJ25&gt;AJ26,AB25,AB26))</f>
        <v/>
      </c>
      <c r="AO28" s="428"/>
      <c r="AP28" s="428"/>
    </row>
    <row r="29" spans="3:42" ht="15.75">
      <c r="C29" s="35"/>
      <c r="D29" s="2"/>
      <c r="Y29" s="80"/>
      <c r="AA29" s="38"/>
      <c r="AL29" s="90">
        <v>2</v>
      </c>
      <c r="AM29" s="91" t="s">
        <v>79</v>
      </c>
      <c r="AN29" s="429" t="str">
        <f>IF(AJ25="","",IF(AJ25&lt;AJ26,AB25,AB26))</f>
        <v/>
      </c>
      <c r="AO29" s="429"/>
      <c r="AP29" s="429"/>
    </row>
    <row r="30" spans="3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0" t="str">
        <f>IF(AJ25=AJ26,"",IF(AJ34=AJ35,AB34,IF(AJ34&gt;AJ35,AB34,AB35)))</f>
        <v/>
      </c>
      <c r="AO30" s="430"/>
      <c r="AP30" s="430"/>
    </row>
    <row r="31" spans="3:42" ht="15.75">
      <c r="C31" s="35"/>
      <c r="D31" s="2"/>
      <c r="F31" s="254"/>
      <c r="G31" s="96" t="str">
        <f>IF(F31="","",VLOOKUP(F31,$C$3:$D$8,2,FALSE))</f>
        <v/>
      </c>
      <c r="H31" s="75">
        <v>11</v>
      </c>
      <c r="I31" s="75"/>
      <c r="J31" s="75"/>
      <c r="K31" s="75"/>
      <c r="L31" s="75"/>
      <c r="M31" s="75"/>
      <c r="N31" s="75"/>
      <c r="O31" s="17">
        <f>IF(H31="","",SUMPRODUCT(--(H31:N31&gt;H32:N32)))</f>
        <v>1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0" t="str">
        <f>IF(AJ25=AJ26,"",IF(AJ34=AJ35,AB35,IF(AJ34&lt;AJ35,AB34,AB35)))</f>
        <v/>
      </c>
      <c r="AO31" s="430"/>
      <c r="AP31" s="430"/>
    </row>
    <row r="32" spans="3:42" ht="15.75">
      <c r="C32" s="35"/>
      <c r="D32" s="2"/>
      <c r="F32" s="254">
        <v>2</v>
      </c>
      <c r="G32" s="96" t="str">
        <f>IF(F32="","",VLOOKUP(F32,$C$3:$D$8,2,FALSE))</f>
        <v>Александар Нолевски (106)</v>
      </c>
      <c r="H32" s="75">
        <v>0</v>
      </c>
      <c r="I32" s="75"/>
      <c r="J32" s="75"/>
      <c r="K32" s="75"/>
      <c r="L32" s="75"/>
      <c r="M32" s="75"/>
      <c r="N32" s="75"/>
      <c r="O32" s="17">
        <f>IF(H31="","",SUMPRODUCT(--(H31:N31&lt;H32:N32)))</f>
        <v>0</v>
      </c>
      <c r="Y32" s="80"/>
      <c r="AA32" s="38"/>
      <c r="AL32" s="87">
        <v>5</v>
      </c>
      <c r="AM32" s="88" t="s">
        <v>80</v>
      </c>
      <c r="AN32" s="431" t="str">
        <f>IF(O7="","",IF(O7&lt;O8,G7,G8))</f>
        <v/>
      </c>
      <c r="AO32" s="431"/>
      <c r="AP32" s="431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1" t="str">
        <f>IF(O19="","",IF(O19&lt;O20,G19,G20))</f>
        <v/>
      </c>
      <c r="AO33" s="431"/>
      <c r="AP33" s="431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1" t="str">
        <f>IF(O31="","",IF(O31&lt;O32,G31,G32))</f>
        <v>Александар Нолевски (106)</v>
      </c>
      <c r="AO34" s="431"/>
      <c r="AP34" s="431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32" t="str">
        <f>IF(O43="","",IF(O43&lt;O44,G43,G44))</f>
        <v/>
      </c>
      <c r="AO35" s="432"/>
      <c r="AP35" s="432"/>
    </row>
    <row r="36" spans="3:42">
      <c r="P36" s="76"/>
      <c r="Y36" s="81"/>
      <c r="AL36" s="164"/>
      <c r="AM36" s="165"/>
      <c r="AN36" s="433"/>
      <c r="AO36" s="433"/>
      <c r="AP36" s="433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4"/>
      <c r="AO37" s="424"/>
      <c r="AP37" s="424"/>
    </row>
    <row r="38" spans="3:42">
      <c r="P38" s="82"/>
      <c r="Q38" s="95" t="str">
        <f>G44</f>
        <v>Алeксандар Марковиќ (3)</v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4"/>
      <c r="AO38" s="424"/>
      <c r="AP38" s="424"/>
    </row>
    <row r="39" spans="3:42">
      <c r="P39" s="76"/>
      <c r="AL39" s="163"/>
      <c r="AM39" s="4"/>
      <c r="AN39" s="424"/>
      <c r="AO39" s="424"/>
      <c r="AP39" s="424"/>
    </row>
    <row r="40" spans="3:42">
      <c r="P40" s="76"/>
      <c r="AL40" s="163"/>
      <c r="AM40" s="4"/>
      <c r="AN40" s="424"/>
      <c r="AO40" s="424"/>
      <c r="AP40" s="424"/>
    </row>
    <row r="41" spans="3:42">
      <c r="O41" s="8"/>
      <c r="P41" s="76"/>
      <c r="AL41" s="163"/>
      <c r="AM41" s="4"/>
      <c r="AN41" s="424"/>
      <c r="AO41" s="424"/>
      <c r="AP41" s="424"/>
    </row>
    <row r="42" spans="3:42">
      <c r="O42" s="8"/>
      <c r="P42" s="76"/>
      <c r="AL42" s="163"/>
      <c r="AM42" s="4"/>
      <c r="AN42" s="424"/>
      <c r="AO42" s="424"/>
      <c r="AP42" s="424"/>
    </row>
    <row r="43" spans="3:42">
      <c r="O43" s="255"/>
      <c r="AL43" s="163"/>
      <c r="AM43" s="4"/>
      <c r="AN43" s="424"/>
      <c r="AO43" s="424"/>
      <c r="AP43" s="424"/>
    </row>
    <row r="44" spans="3:42">
      <c r="F44" s="254">
        <v>3</v>
      </c>
      <c r="G44" s="96" t="str">
        <f>IF(F44="","",VLOOKUP(F44,$C$3:$D$8,2,FALSE))</f>
        <v>Алeксандар Марковиќ (3)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4"/>
      <c r="AO50" s="424"/>
      <c r="AP50" s="424"/>
    </row>
    <row r="51" spans="36:42">
      <c r="AM51" s="4"/>
      <c r="AN51" s="424"/>
      <c r="AO51" s="424"/>
      <c r="AP51" s="424"/>
    </row>
    <row r="52" spans="36:42">
      <c r="AM52" s="4"/>
      <c r="AN52" s="424"/>
      <c r="AO52" s="424"/>
      <c r="AP52" s="424"/>
    </row>
  </sheetData>
  <mergeCells count="28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</sheetPr>
  <dimension ref="B1:AU52"/>
  <sheetViews>
    <sheetView workbookViewId="0">
      <selection activeCell="F39" sqref="F39"/>
    </sheetView>
  </sheetViews>
  <sheetFormatPr defaultRowHeight="15"/>
  <cols>
    <col min="2" max="2" width="13" customWidth="1"/>
    <col min="4" max="4" width="31.42578125" customWidth="1"/>
    <col min="5" max="5" width="3.7109375" customWidth="1"/>
    <col min="6" max="6" width="8.85546875" style="223"/>
    <col min="7" max="7" width="31.42578125" style="2" customWidth="1"/>
    <col min="8" max="15" width="3" style="2" customWidth="1"/>
    <col min="16" max="16" width="8.85546875" style="2"/>
    <col min="17" max="17" width="31.42578125" style="2" customWidth="1"/>
    <col min="18" max="25" width="3.140625" style="2" customWidth="1"/>
    <col min="26" max="26" width="4.5703125" style="2" customWidth="1"/>
    <col min="27" max="27" width="4.5703125" customWidth="1"/>
    <col min="28" max="28" width="31.42578125" style="2" customWidth="1"/>
    <col min="29" max="36" width="3" style="2" customWidth="1"/>
    <col min="39" max="41" width="31.42578125" customWidth="1"/>
  </cols>
  <sheetData>
    <row r="1" spans="2:47">
      <c r="C1" s="447" t="s">
        <v>61</v>
      </c>
      <c r="D1" s="435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.75" thickBot="1">
      <c r="B2" s="238" t="s">
        <v>125</v>
      </c>
      <c r="C2" s="238" t="s">
        <v>78</v>
      </c>
    </row>
    <row r="3" spans="2:47" ht="15.75">
      <c r="B3" s="47" t="s">
        <v>25</v>
      </c>
      <c r="C3" s="47">
        <v>1</v>
      </c>
      <c r="D3" s="23" t="str">
        <f>IF(' I'!$X$2="","",' I'!$X$2)</f>
        <v>Филип Младеновски (70)</v>
      </c>
    </row>
    <row r="4" spans="2:47" ht="16.5" thickBot="1">
      <c r="B4" s="48" t="s">
        <v>55</v>
      </c>
      <c r="C4" s="48">
        <v>2</v>
      </c>
      <c r="D4" s="24" t="str">
        <f>IF(' I'!$X$3="","",' I'!$X$3)</f>
        <v>Александар Нолевски (106)</v>
      </c>
    </row>
    <row r="5" spans="2:47" ht="15.75">
      <c r="B5" s="48" t="s">
        <v>27</v>
      </c>
      <c r="C5" s="48">
        <v>3</v>
      </c>
      <c r="D5" s="27" t="str">
        <f>IF(' II'!$X$2="","",' II'!$X$2)</f>
        <v>Алeксандар Марковиќ (3)</v>
      </c>
    </row>
    <row r="6" spans="2:47" ht="16.5" thickBot="1">
      <c r="B6" s="48" t="s">
        <v>54</v>
      </c>
      <c r="C6" s="48">
        <v>4</v>
      </c>
      <c r="D6" s="28" t="str">
        <f>IF(' II'!$X$3="","",' II'!$X$3)</f>
        <v>Лука Огненоски (15)</v>
      </c>
    </row>
    <row r="7" spans="2:47" ht="15.75">
      <c r="B7" s="48" t="s">
        <v>29</v>
      </c>
      <c r="C7" s="48">
        <v>5</v>
      </c>
      <c r="D7" s="23" t="str">
        <f>IF(' III'!$X$2="","",' III'!$X$2)</f>
        <v>Венко Стојанов (49)</v>
      </c>
      <c r="F7" s="314">
        <v>1</v>
      </c>
      <c r="G7" s="151" t="str">
        <f>IF(F7="","",VLOOKUP(F7,$C$3:$D$10,2,FALSE))</f>
        <v>Филип Младеновски (70)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5" thickBot="1">
      <c r="B8" s="48" t="s">
        <v>53</v>
      </c>
      <c r="C8" s="48">
        <v>6</v>
      </c>
      <c r="D8" s="24" t="str">
        <f>IF(' III'!$X$3="","",' III'!$X$3)</f>
        <v>Христијан Јовановски  (2)</v>
      </c>
      <c r="F8" s="314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75">
      <c r="B9" s="48" t="s">
        <v>30</v>
      </c>
      <c r="C9" s="48">
        <v>7</v>
      </c>
      <c r="D9" s="27" t="str">
        <f>IF(IV!$X$2="","",IV!$X$2)</f>
        <v>Лука Стојчев (73)</v>
      </c>
      <c r="O9" s="8"/>
      <c r="P9" s="76"/>
    </row>
    <row r="10" spans="2:47" ht="16.5" thickBot="1">
      <c r="B10" s="49" t="s">
        <v>52</v>
      </c>
      <c r="C10" s="49">
        <v>8</v>
      </c>
      <c r="D10" s="28" t="str">
        <f>IF(IV!$X$3="","",IV!$X$3)</f>
        <v>Зоран Димитријевски (74)</v>
      </c>
      <c r="O10" s="8"/>
      <c r="P10" s="76"/>
    </row>
    <row r="11" spans="2:47" ht="15.75">
      <c r="B11" s="35"/>
      <c r="C11" s="35"/>
      <c r="D11" s="2"/>
      <c r="P11" s="76"/>
    </row>
    <row r="12" spans="2:47" ht="15.75">
      <c r="B12" s="35"/>
      <c r="C12" s="35"/>
      <c r="D12" s="2"/>
      <c r="P12" s="76"/>
      <c r="AN12" s="45"/>
    </row>
    <row r="13" spans="2:47" ht="15.75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75">
      <c r="B14" s="35"/>
      <c r="C14" s="35">
        <v>1</v>
      </c>
      <c r="D14" s="315" t="s">
        <v>594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75">
      <c r="B15" s="35"/>
      <c r="C15" s="35">
        <v>3</v>
      </c>
      <c r="D15" s="315" t="s">
        <v>595</v>
      </c>
      <c r="P15" s="76"/>
      <c r="Y15" s="79"/>
      <c r="AN15" s="436" t="str">
        <f>IF(AJ25="","",IF(AJ25&gt;AJ26,AB25,AB26))</f>
        <v/>
      </c>
    </row>
    <row r="16" spans="2:47" ht="15.75">
      <c r="B16" s="35"/>
      <c r="C16" s="35">
        <v>5</v>
      </c>
      <c r="D16" s="315" t="s">
        <v>596</v>
      </c>
      <c r="P16" s="76"/>
      <c r="Y16" s="80"/>
      <c r="AM16" s="436" t="str">
        <f>IF(AJ25="","",IF(AJ25&lt;AJ26,AB25,AB26))</f>
        <v/>
      </c>
      <c r="AN16" s="436"/>
      <c r="AO16" s="437" t="str">
        <f>IF(AJ25=AJ26,"",IF(AJ34=AJ35,AB34,IF(AJ34&gt;AJ35,AB34,AB35)))</f>
        <v/>
      </c>
    </row>
    <row r="17" spans="2:42" ht="15.75">
      <c r="B17" s="35"/>
      <c r="C17" s="35">
        <v>7</v>
      </c>
      <c r="D17" s="315" t="s">
        <v>597</v>
      </c>
      <c r="P17" s="76"/>
      <c r="Y17" s="80"/>
      <c r="AJ17" s="8"/>
      <c r="AM17" s="436"/>
      <c r="AN17" s="436"/>
      <c r="AO17" s="437"/>
    </row>
    <row r="18" spans="2:42" ht="15.75">
      <c r="B18" s="35"/>
      <c r="C18" s="35"/>
      <c r="D18" s="2"/>
      <c r="P18" s="76"/>
      <c r="Y18" s="80"/>
      <c r="AJ18" s="8"/>
      <c r="AM18" s="436"/>
      <c r="AO18" s="437"/>
    </row>
    <row r="19" spans="2:42" ht="16.5" thickBot="1">
      <c r="C19" s="35"/>
      <c r="D19" s="2"/>
      <c r="F19" s="314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38" t="str">
        <f>IF(AJ25=AJ26,"",IF(OR(AJ34&gt;AJ35,AJ34&lt;AJ35),"",AB35))</f>
        <v/>
      </c>
    </row>
    <row r="20" spans="2:42" ht="16.5" thickBot="1">
      <c r="C20" s="35"/>
      <c r="D20" s="310">
        <v>5.7</v>
      </c>
      <c r="F20" s="314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39" t="s">
        <v>58</v>
      </c>
      <c r="AO20" s="438"/>
    </row>
    <row r="21" spans="2:42" ht="16.350000000000001" customHeight="1" thickBot="1">
      <c r="C21" s="448" t="s">
        <v>598</v>
      </c>
      <c r="D21" s="448"/>
      <c r="Y21" s="80"/>
      <c r="AM21" s="442" t="s">
        <v>59</v>
      </c>
      <c r="AN21" s="440"/>
      <c r="AO21" s="438"/>
    </row>
    <row r="22" spans="2:42" ht="15.6" customHeight="1">
      <c r="C22" s="448"/>
      <c r="D22" s="448"/>
      <c r="Y22" s="80"/>
      <c r="AM22" s="443"/>
      <c r="AN22" s="440"/>
      <c r="AO22" s="445" t="s">
        <v>60</v>
      </c>
    </row>
    <row r="23" spans="2:42" ht="16.350000000000001" customHeight="1" thickBot="1">
      <c r="C23" s="448"/>
      <c r="D23" s="448"/>
      <c r="Y23" s="80"/>
      <c r="AM23" s="444"/>
      <c r="AN23" s="441"/>
      <c r="AO23" s="446"/>
    </row>
    <row r="24" spans="2:42" ht="15.6" customHeight="1">
      <c r="C24" s="448"/>
      <c r="D24" s="448"/>
      <c r="Y24" s="80"/>
    </row>
    <row r="25" spans="2:42" ht="15.75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75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75">
      <c r="C27" s="35"/>
      <c r="D27" s="2"/>
      <c r="Y27" s="80"/>
      <c r="AA27" s="38"/>
      <c r="AL27" s="425" t="s">
        <v>81</v>
      </c>
      <c r="AM27" s="426"/>
      <c r="AN27" s="426"/>
      <c r="AO27" s="426"/>
      <c r="AP27" s="427"/>
    </row>
    <row r="28" spans="2:42" ht="15.75">
      <c r="C28" s="35"/>
      <c r="D28" s="2"/>
      <c r="Y28" s="80"/>
      <c r="AA28" s="38"/>
      <c r="AL28" s="307">
        <v>1</v>
      </c>
      <c r="AM28" s="308" t="s">
        <v>82</v>
      </c>
      <c r="AN28" s="428" t="str">
        <f>IF(AJ25="","",IF(AJ25&gt;AJ26,AB25,AB26))</f>
        <v/>
      </c>
      <c r="AO28" s="428"/>
      <c r="AP28" s="428"/>
    </row>
    <row r="29" spans="2:42" ht="15.75">
      <c r="C29" s="35"/>
      <c r="D29" s="2"/>
      <c r="Y29" s="80"/>
      <c r="AA29" s="38"/>
      <c r="AL29" s="90">
        <v>2</v>
      </c>
      <c r="AM29" s="91" t="s">
        <v>79</v>
      </c>
      <c r="AN29" s="429" t="str">
        <f>IF(AJ25="","",IF(AJ25&lt;AJ26,AB25,AB26))</f>
        <v/>
      </c>
      <c r="AO29" s="429"/>
      <c r="AP29" s="429"/>
    </row>
    <row r="30" spans="2:42" ht="15.75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30" t="str">
        <f>IF(AJ25=AJ26,"",IF(AJ34=AJ35,AB34,IF(AJ34&gt;AJ35,AB34,AB35)))</f>
        <v/>
      </c>
      <c r="AO30" s="430"/>
      <c r="AP30" s="430"/>
    </row>
    <row r="31" spans="2:42" ht="15.75">
      <c r="C31" s="35"/>
      <c r="D31" s="310">
        <v>5.7</v>
      </c>
      <c r="F31" s="314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30" t="str">
        <f>IF(AJ25=AJ26,"",IF(AJ34=AJ35,AB35,IF(AJ34&lt;AJ35,AB34,AB35)))</f>
        <v/>
      </c>
      <c r="AO31" s="430"/>
      <c r="AP31" s="430"/>
    </row>
    <row r="32" spans="2:42" ht="15.75">
      <c r="C32" s="35"/>
      <c r="D32" s="2"/>
      <c r="F32" s="314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31" t="str">
        <f>IF(O7="","",IF(O7&lt;O8,G7,G8))</f>
        <v/>
      </c>
      <c r="AO32" s="431"/>
      <c r="AP32" s="431"/>
    </row>
    <row r="33" spans="3:42" ht="15.75">
      <c r="C33" s="35"/>
      <c r="D33" s="2"/>
      <c r="P33" s="76"/>
      <c r="Y33" s="80"/>
      <c r="AA33" s="38"/>
      <c r="AL33" s="87">
        <v>5</v>
      </c>
      <c r="AM33" s="88" t="s">
        <v>80</v>
      </c>
      <c r="AN33" s="431" t="str">
        <f>IF(O19="","",IF(O19&lt;O20,G19,G20))</f>
        <v/>
      </c>
      <c r="AO33" s="431"/>
      <c r="AP33" s="431"/>
    </row>
    <row r="34" spans="3:42" ht="15.75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31" t="str">
        <f>IF(O31="","",IF(O31&lt;O32,G31,G32))</f>
        <v/>
      </c>
      <c r="AO34" s="431"/>
      <c r="AP34" s="431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31" t="str">
        <f>IF(O43="","",IF(O43&lt;O44,G43,G44))</f>
        <v/>
      </c>
      <c r="AO35" s="431"/>
      <c r="AP35" s="431"/>
    </row>
    <row r="36" spans="3:42">
      <c r="P36" s="76"/>
      <c r="Y36" s="81"/>
      <c r="AL36" s="163"/>
      <c r="AM36" s="4"/>
      <c r="AN36" s="424"/>
      <c r="AO36" s="424"/>
      <c r="AP36" s="424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24"/>
      <c r="AO37" s="424"/>
      <c r="AP37" s="424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24"/>
      <c r="AO38" s="424"/>
      <c r="AP38" s="424"/>
    </row>
    <row r="39" spans="3:42">
      <c r="P39" s="76"/>
      <c r="AL39" s="163"/>
      <c r="AM39" s="4"/>
      <c r="AN39" s="424"/>
      <c r="AO39" s="424"/>
      <c r="AP39" s="424"/>
    </row>
    <row r="40" spans="3:42">
      <c r="P40" s="76"/>
      <c r="AL40" s="163"/>
      <c r="AM40" s="4"/>
      <c r="AN40" s="424"/>
      <c r="AO40" s="424"/>
      <c r="AP40" s="424"/>
    </row>
    <row r="41" spans="3:42">
      <c r="O41" s="8"/>
      <c r="P41" s="76"/>
      <c r="AL41" s="163"/>
      <c r="AM41" s="4"/>
      <c r="AN41" s="424"/>
      <c r="AO41" s="424"/>
      <c r="AP41" s="424"/>
    </row>
    <row r="42" spans="3:42">
      <c r="O42" s="8"/>
      <c r="P42" s="76"/>
      <c r="AL42" s="163"/>
      <c r="AM42" s="4"/>
      <c r="AN42" s="424"/>
      <c r="AO42" s="424"/>
      <c r="AP42" s="424"/>
    </row>
    <row r="43" spans="3:42">
      <c r="F43" s="314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24"/>
      <c r="AO43" s="424"/>
      <c r="AP43" s="424"/>
    </row>
    <row r="44" spans="3:42">
      <c r="F44" s="314">
        <v>3</v>
      </c>
      <c r="G44" s="151" t="str">
        <f>IF(F44="","",VLOOKUP(F44,$C$3:$D$10,2,FALSE))</f>
        <v>Алeксандар Марковиќ (3)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24"/>
      <c r="AO50" s="424"/>
      <c r="AP50" s="424"/>
    </row>
    <row r="51" spans="36:42">
      <c r="AM51" s="4"/>
      <c r="AN51" s="424"/>
      <c r="AO51" s="424"/>
      <c r="AP51" s="424"/>
    </row>
    <row r="52" spans="36:42">
      <c r="AM52" s="4"/>
      <c r="AN52" s="424"/>
      <c r="AO52" s="424"/>
      <c r="AP52" s="424"/>
    </row>
  </sheetData>
  <mergeCells count="29"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AN51:AP51"/>
    <mergeCell ref="AN52:AP52"/>
    <mergeCell ref="AN39:AP39"/>
    <mergeCell ref="AN40:AP40"/>
    <mergeCell ref="AN41:AP41"/>
    <mergeCell ref="AN42:AP42"/>
    <mergeCell ref="AN43:AP43"/>
    <mergeCell ref="AN50:AP5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B1:AZ52"/>
  <sheetViews>
    <sheetView workbookViewId="0">
      <selection activeCell="D33" sqref="D33"/>
    </sheetView>
  </sheetViews>
  <sheetFormatPr defaultRowHeight="15"/>
  <cols>
    <col min="2" max="2" width="11.5703125" customWidth="1"/>
    <col min="4" max="4" width="31.4257812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2">
      <c r="C1" s="434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.75" thickBot="1">
      <c r="B2" s="238" t="s">
        <v>125</v>
      </c>
      <c r="C2" s="238" t="s">
        <v>78</v>
      </c>
    </row>
    <row r="3" spans="2:52" ht="15.75">
      <c r="B3" s="218" t="s">
        <v>25</v>
      </c>
      <c r="C3" s="210">
        <v>1</v>
      </c>
      <c r="D3" s="207" t="str">
        <f>IF(' I'!$X$2="","",' I'!$X$2)</f>
        <v>Филип Младеновски (70)</v>
      </c>
      <c r="F3" s="35"/>
    </row>
    <row r="4" spans="2:52" ht="16.5" thickBot="1">
      <c r="B4" s="214" t="s">
        <v>55</v>
      </c>
      <c r="C4" s="215">
        <v>2</v>
      </c>
      <c r="D4" s="208" t="str">
        <f>IF(' I'!$X$3="","",' I'!$X$3)</f>
        <v>Александар Нолевски (106)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75">
      <c r="B5" s="218" t="s">
        <v>27</v>
      </c>
      <c r="C5" s="210">
        <v>3</v>
      </c>
      <c r="D5" s="211" t="str">
        <f>IF(' II'!$X$2="","",' II'!$X$2)</f>
        <v>Алeксандар Марковиќ (3)</v>
      </c>
      <c r="F5" s="155">
        <v>1</v>
      </c>
      <c r="G5" s="156" t="str">
        <f>IF(F5="","",VLOOKUP(F5,$C$3:$D$18,2,FALSE))</f>
        <v>Филип Младеновски (70)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5" thickBot="1">
      <c r="B6" s="219" t="s">
        <v>54</v>
      </c>
      <c r="C6" s="216">
        <v>4</v>
      </c>
      <c r="D6" s="217" t="str">
        <f>IF(' II'!$X$3="","",' II'!$X$3)</f>
        <v>Лука Огненоски (15)</v>
      </c>
      <c r="F6" s="153"/>
      <c r="O6" s="8"/>
      <c r="P6" s="76"/>
    </row>
    <row r="7" spans="2:52" ht="15.75">
      <c r="B7" s="212" t="s">
        <v>29</v>
      </c>
      <c r="C7" s="213">
        <v>5</v>
      </c>
      <c r="D7" s="207" t="str">
        <f>IF(' III'!$X$2="","",' III'!$X$2)</f>
        <v>Венко Стојанов (49)</v>
      </c>
      <c r="F7" s="153"/>
      <c r="P7" s="76"/>
      <c r="Q7" s="96" t="str">
        <f>G5</f>
        <v>Филип Младеновски (70)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5" thickBot="1">
      <c r="B8" s="214" t="s">
        <v>53</v>
      </c>
      <c r="C8" s="215">
        <v>6</v>
      </c>
      <c r="D8" s="208" t="str">
        <f>IF(' III'!$X$3="","",' III'!$X$3)</f>
        <v>Христијан Јовановски  (2)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75">
      <c r="B9" s="218" t="s">
        <v>30</v>
      </c>
      <c r="C9" s="210">
        <v>7</v>
      </c>
      <c r="D9" s="211" t="str">
        <f>IF(IV!$X$2="","",IV!$X$2)</f>
        <v>Лука Стојчев (73)</v>
      </c>
      <c r="F9" s="153"/>
      <c r="P9" s="76"/>
      <c r="Y9" s="8"/>
      <c r="Z9" s="76"/>
    </row>
    <row r="10" spans="2:52" ht="16.5" thickBot="1">
      <c r="B10" s="219" t="s">
        <v>52</v>
      </c>
      <c r="C10" s="216">
        <v>8</v>
      </c>
      <c r="D10" s="217" t="str">
        <f>IF(IV!$X$3="","",IV!$X$3)</f>
        <v>Зоран Димитријевски (74)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75">
      <c r="B11" s="212" t="s">
        <v>31</v>
      </c>
      <c r="C11" s="213">
        <v>9</v>
      </c>
      <c r="D11" s="207" t="str">
        <f>IF(V!$X$2="","",V!$X$2)</f>
        <v>Александар Јакимовски (178)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5" thickBot="1">
      <c r="B12" s="214" t="s">
        <v>51</v>
      </c>
      <c r="C12" s="215">
        <v>10</v>
      </c>
      <c r="D12" s="208" t="str">
        <f>IF(V!$X$3="","",V!$X$3)</f>
        <v>Славчо Спасеноски  (278)</v>
      </c>
      <c r="F12" s="153"/>
      <c r="Z12" s="76"/>
      <c r="AX12" s="45"/>
    </row>
    <row r="13" spans="2:52" ht="15.75">
      <c r="B13" s="218" t="s">
        <v>32</v>
      </c>
      <c r="C13" s="210">
        <v>11</v>
      </c>
      <c r="D13" s="211" t="str">
        <f>IF(VI!$X$2="","",VI!$X$2)</f>
        <v>Сашо Љамов (127)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5" thickBot="1">
      <c r="B14" s="214" t="s">
        <v>50</v>
      </c>
      <c r="C14" s="215">
        <v>12</v>
      </c>
      <c r="D14" s="209" t="str">
        <f>IF(VI!$X$3="","",VI!$X$3)</f>
        <v>Марјан Крстев (52)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75">
      <c r="C15" s="35"/>
      <c r="D15" s="2"/>
      <c r="F15" s="153"/>
      <c r="Z15" s="76"/>
      <c r="AI15" s="79"/>
      <c r="AX15" s="436" t="str">
        <f>IF(AT25="","",IF(AT25&gt;AT26,AL25,AL26))</f>
        <v/>
      </c>
    </row>
    <row r="16" spans="2:52" ht="15.75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3:52" ht="15.75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3:52" ht="15.75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36"/>
      <c r="AY18" s="437"/>
    </row>
    <row r="19" spans="3:52" ht="16.5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3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3:52" ht="16.5" thickBot="1">
      <c r="C21" s="35"/>
      <c r="D21" s="2"/>
      <c r="F21" s="153"/>
      <c r="O21" s="8"/>
      <c r="P21" s="76"/>
      <c r="AI21" s="80"/>
      <c r="AW21" s="453" t="s">
        <v>59</v>
      </c>
      <c r="AX21" s="451"/>
      <c r="AY21" s="438"/>
    </row>
    <row r="22" spans="3:52" ht="15.75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4"/>
      <c r="AX22" s="451"/>
      <c r="AY22" s="456" t="s">
        <v>60</v>
      </c>
    </row>
    <row r="23" spans="3:52" ht="16.5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5"/>
      <c r="AX23" s="452"/>
      <c r="AY23" s="457"/>
    </row>
    <row r="24" spans="3:52" ht="15.75">
      <c r="C24" s="35"/>
      <c r="D24" s="2"/>
      <c r="F24" s="153"/>
      <c r="AI24" s="80"/>
    </row>
    <row r="25" spans="3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75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75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3:52" ht="15.75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49" t="str">
        <f>IF(AT25="","",IF(AT25&gt;AT26,AL25,AL26))</f>
        <v/>
      </c>
      <c r="AY28" s="449"/>
      <c r="AZ28" s="449"/>
    </row>
    <row r="29" spans="3:52" ht="15.75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3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3:52" ht="15.75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3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32" t="str">
        <f>IF(Y43="","",IF(Y43&lt;Y44,Q43,Q44))</f>
        <v/>
      </c>
      <c r="AY35" s="432"/>
      <c r="AZ35" s="432"/>
    </row>
    <row r="36" spans="3:52">
      <c r="F36" s="153"/>
      <c r="Z36" s="76"/>
      <c r="AI36" s="81"/>
      <c r="AV36" s="164"/>
      <c r="AW36" s="165"/>
      <c r="AX36" s="433"/>
      <c r="AY36" s="433"/>
      <c r="AZ36" s="433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24"/>
      <c r="AY37" s="424"/>
      <c r="AZ37" s="424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24"/>
      <c r="AY38" s="424"/>
      <c r="AZ38" s="424"/>
    </row>
    <row r="39" spans="3:52">
      <c r="F39" s="153"/>
      <c r="Z39" s="76"/>
      <c r="AV39" s="163"/>
      <c r="AW39" s="4"/>
      <c r="AX39" s="424"/>
      <c r="AY39" s="424"/>
      <c r="AZ39" s="424"/>
    </row>
    <row r="40" spans="3:52" ht="15.75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24"/>
      <c r="AY40" s="424"/>
      <c r="AZ40" s="424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24"/>
      <c r="AY41" s="424"/>
      <c r="AZ41" s="424"/>
    </row>
    <row r="42" spans="3:52" ht="15.75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24"/>
      <c r="AY42" s="424"/>
      <c r="AZ42" s="424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24"/>
      <c r="AY43" s="424"/>
      <c r="AZ43" s="424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Алeксандар Марковиќ (3)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</sheetPr>
  <dimension ref="B1:BE52"/>
  <sheetViews>
    <sheetView workbookViewId="0">
      <selection activeCell="N50" sqref="N50"/>
    </sheetView>
  </sheetViews>
  <sheetFormatPr defaultRowHeight="15"/>
  <cols>
    <col min="2" max="2" width="13" customWidth="1"/>
    <col min="4" max="4" width="31.42578125" customWidth="1"/>
    <col min="5" max="5" width="13.85546875" customWidth="1"/>
    <col min="6" max="6" width="9.140625" style="58"/>
    <col min="7" max="7" width="31.42578125" style="2" customWidth="1"/>
    <col min="8" max="15" width="3" style="2" customWidth="1"/>
    <col min="16" max="16" width="9.140625" style="2"/>
    <col min="17" max="17" width="31.42578125" style="2" customWidth="1"/>
    <col min="18" max="25" width="3" style="2" customWidth="1"/>
    <col min="26" max="26" width="9.140625" style="2"/>
    <col min="27" max="27" width="31.42578125" style="2" customWidth="1"/>
    <col min="28" max="35" width="3.140625" style="2" customWidth="1"/>
    <col min="36" max="36" width="4.5703125" style="2" customWidth="1"/>
    <col min="37" max="37" width="4.5703125" customWidth="1"/>
    <col min="38" max="38" width="31.42578125" style="2" customWidth="1"/>
    <col min="39" max="46" width="3" style="2" customWidth="1"/>
    <col min="49" max="51" width="31.42578125" customWidth="1"/>
  </cols>
  <sheetData>
    <row r="1" spans="2:57">
      <c r="C1" s="447" t="s">
        <v>61</v>
      </c>
      <c r="D1" s="435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.75" thickBot="1">
      <c r="B2" s="238" t="s">
        <v>125</v>
      </c>
      <c r="C2" s="238" t="s">
        <v>78</v>
      </c>
    </row>
    <row r="3" spans="2:57" ht="15.75">
      <c r="B3" s="47" t="s">
        <v>25</v>
      </c>
      <c r="C3" s="47">
        <v>1</v>
      </c>
      <c r="D3" s="23" t="str">
        <f>IF(' I'!$X$2="","",' I'!$X$2)</f>
        <v>Филип Младеновски (70)</v>
      </c>
      <c r="F3" s="35"/>
    </row>
    <row r="4" spans="2:57" ht="16.5" thickBot="1">
      <c r="B4" s="48" t="s">
        <v>55</v>
      </c>
      <c r="C4" s="48">
        <v>2</v>
      </c>
      <c r="D4" s="24" t="str">
        <f>IF(' I'!$X$3="","",' I'!$X$3)</f>
        <v>Александар Нолевски (106)</v>
      </c>
      <c r="E4">
        <v>1</v>
      </c>
      <c r="F4" s="152">
        <v>1</v>
      </c>
      <c r="G4" s="151" t="str">
        <f>IF(F4="","",VLOOKUP(F4,$C$3:$D$18,2,FALSE))</f>
        <v>Филип Младеновски (70)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75">
      <c r="B5" s="48" t="s">
        <v>27</v>
      </c>
      <c r="C5" s="48">
        <v>3</v>
      </c>
      <c r="D5" s="27" t="str">
        <f>IF(' II'!$X$2="","",' II'!$X$2)</f>
        <v>Алeксандар Марковиќ (3)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5" thickBot="1">
      <c r="B6" s="48" t="s">
        <v>54</v>
      </c>
      <c r="C6" s="48">
        <v>4</v>
      </c>
      <c r="D6" s="28" t="str">
        <f>IF(' II'!$X$3="","",' II'!$X$3)</f>
        <v>Лука Огненоски (15)</v>
      </c>
      <c r="F6" s="153"/>
      <c r="O6" s="8"/>
      <c r="P6" s="76"/>
    </row>
    <row r="7" spans="2:57" ht="15.75">
      <c r="B7" s="48" t="s">
        <v>29</v>
      </c>
      <c r="C7" s="48">
        <v>5</v>
      </c>
      <c r="D7" s="23" t="str">
        <f>IF(' III'!$X$2="","",' III'!$X$2)</f>
        <v>Венко Стојанов (49)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5" thickBot="1">
      <c r="B8" s="48" t="s">
        <v>53</v>
      </c>
      <c r="C8" s="48">
        <v>6</v>
      </c>
      <c r="D8" s="24" t="str">
        <f>IF(' III'!$X$3="","",' III'!$X$3)</f>
        <v>Христијан Јовановски  (2)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75">
      <c r="B9" s="48" t="s">
        <v>30</v>
      </c>
      <c r="C9" s="48">
        <v>7</v>
      </c>
      <c r="D9" s="27" t="str">
        <f>IF(IV!$X$2="","",IV!$X$2)</f>
        <v>Лука Стојчев (73)</v>
      </c>
      <c r="F9" s="153"/>
      <c r="P9" s="76"/>
      <c r="Y9" s="8"/>
      <c r="Z9" s="76"/>
    </row>
    <row r="10" spans="2:57" ht="16.5" thickBot="1">
      <c r="B10" s="48" t="s">
        <v>52</v>
      </c>
      <c r="C10" s="48">
        <v>8</v>
      </c>
      <c r="D10" s="28" t="str">
        <f>IF(IV!$X$3="","",IV!$X$3)</f>
        <v>Зоран Димитријевски (74)</v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75">
      <c r="B11" s="48" t="s">
        <v>31</v>
      </c>
      <c r="C11" s="48">
        <v>9</v>
      </c>
      <c r="D11" s="23" t="str">
        <f>IF(V!$X$2="","",V!$X$2)</f>
        <v>Александар Јакимовски (178)</v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5" thickBot="1">
      <c r="B12" s="48" t="s">
        <v>51</v>
      </c>
      <c r="C12" s="48">
        <v>10</v>
      </c>
      <c r="D12" s="24" t="str">
        <f>IF(V!$X$3="","",V!$X$3)</f>
        <v>Славчо Спасеноски  (278)</v>
      </c>
      <c r="F12" s="153"/>
      <c r="Z12" s="76"/>
      <c r="AX12" s="45"/>
    </row>
    <row r="13" spans="2:57" ht="15.75">
      <c r="B13" s="48" t="s">
        <v>32</v>
      </c>
      <c r="C13" s="48">
        <v>11</v>
      </c>
      <c r="D13" s="27" t="str">
        <f>IF(VI!$X$2="","",VI!$X$2)</f>
        <v>Сашо Љамов (127)</v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5" thickBot="1">
      <c r="B14" s="48" t="s">
        <v>50</v>
      </c>
      <c r="C14" s="48">
        <v>12</v>
      </c>
      <c r="D14" s="28" t="str">
        <f>IF(VI!$X$3="","",VI!$X$3)</f>
        <v>Марјан Крстев (52)</v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75">
      <c r="B15" s="48" t="s">
        <v>33</v>
      </c>
      <c r="C15" s="48">
        <v>13</v>
      </c>
      <c r="D15" s="23" t="str">
        <f>IF(VII!$X$2="","",VII!$X$2)</f>
        <v>Христијан Јованов (37)</v>
      </c>
      <c r="F15" s="153"/>
      <c r="Z15" s="76"/>
      <c r="AI15" s="79"/>
      <c r="AX15" s="436" t="str">
        <f>IF(AT25="","",IF(AT25&gt;AT26,AL25,AL26))</f>
        <v/>
      </c>
    </row>
    <row r="16" spans="2:57" ht="16.5" thickBot="1">
      <c r="B16" s="48" t="s">
        <v>49</v>
      </c>
      <c r="C16" s="48">
        <v>14</v>
      </c>
      <c r="D16" s="24" t="str">
        <f>IF(VII!$X$3="","",VII!$X$3)</f>
        <v>Слободан Грковски (54)</v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36" t="str">
        <f>IF(AT25="","",IF(AT25&lt;AT26,AL25,AL26))</f>
        <v/>
      </c>
      <c r="AX16" s="436"/>
      <c r="AY16" s="437" t="str">
        <f>IF(AT25=AT26,"",IF(AT34=AT35,AL34,IF(AT34&gt;AT35,AL34,AL35)))</f>
        <v/>
      </c>
    </row>
    <row r="17" spans="2:52" ht="15.75">
      <c r="B17" s="48" t="s">
        <v>34</v>
      </c>
      <c r="C17" s="48">
        <v>15</v>
      </c>
      <c r="D17" s="27" t="str">
        <f>IF(VIII!$X$2="","",VIII!$X$2)</f>
        <v>Даниел Главевски Зхоу  (108)</v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36"/>
      <c r="AX17" s="436"/>
      <c r="AY17" s="437"/>
    </row>
    <row r="18" spans="2:52" ht="16.5" thickBot="1">
      <c r="B18" s="49" t="s">
        <v>57</v>
      </c>
      <c r="C18" s="49">
        <v>16</v>
      </c>
      <c r="D18" s="28" t="str">
        <f>IF(VIII!$X$3="","",VIII!$X$3)</f>
        <v>Мартин Калески (122)</v>
      </c>
      <c r="F18" s="153"/>
      <c r="P18" s="76"/>
      <c r="Z18" s="76"/>
      <c r="AI18" s="80"/>
      <c r="AT18" s="8"/>
      <c r="AW18" s="436"/>
      <c r="AY18" s="437"/>
    </row>
    <row r="19" spans="2:52" ht="16.5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38" t="str">
        <f>IF(AT25=AT26,"",IF(OR(AT34&gt;AT35,AT34&lt;AT35),"",AL35))</f>
        <v/>
      </c>
    </row>
    <row r="20" spans="2:52" ht="16.5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50" t="s">
        <v>58</v>
      </c>
      <c r="AY20" s="438"/>
    </row>
    <row r="21" spans="2:52" ht="16.5" thickBot="1">
      <c r="C21" s="35"/>
      <c r="D21" s="2"/>
      <c r="F21" s="153"/>
      <c r="O21" s="8"/>
      <c r="P21" s="76"/>
      <c r="AI21" s="80"/>
      <c r="AW21" s="459" t="s">
        <v>59</v>
      </c>
      <c r="AX21" s="451"/>
      <c r="AY21" s="438"/>
    </row>
    <row r="22" spans="2:52" ht="15.75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60"/>
      <c r="AX22" s="451"/>
      <c r="AY22" s="456" t="s">
        <v>60</v>
      </c>
    </row>
    <row r="23" spans="2:52" ht="16.5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61"/>
      <c r="AX23" s="452"/>
      <c r="AY23" s="457"/>
    </row>
    <row r="24" spans="2:52" ht="15.75">
      <c r="C24" s="35"/>
      <c r="D24" s="2"/>
      <c r="F24" s="153"/>
      <c r="AI24" s="80"/>
    </row>
    <row r="25" spans="2:52" ht="15.75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75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75">
      <c r="C27" s="35"/>
      <c r="D27" s="2"/>
      <c r="F27" s="35"/>
      <c r="AI27" s="80"/>
      <c r="AK27" s="38"/>
      <c r="AV27" s="425" t="s">
        <v>81</v>
      </c>
      <c r="AW27" s="426"/>
      <c r="AX27" s="426"/>
      <c r="AY27" s="426"/>
      <c r="AZ27" s="427"/>
    </row>
    <row r="28" spans="2:52" ht="15.75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28" t="str">
        <f>IF(AT25="","",IF(AT25&gt;AT26,AL25,AL26))</f>
        <v/>
      </c>
      <c r="AY28" s="428"/>
      <c r="AZ28" s="428"/>
    </row>
    <row r="29" spans="2:52" ht="15.75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29" t="str">
        <f>IF(AT25="","",IF(AT25&lt;AT26,AL25,AL26))</f>
        <v/>
      </c>
      <c r="AY29" s="429"/>
      <c r="AZ29" s="429"/>
    </row>
    <row r="30" spans="2:52" ht="15.75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30" t="str">
        <f>IF(AT25=AT26,"",IF(AT34=AT35,AL34,IF(AT34&gt;AT35,AL34,AL35)))</f>
        <v/>
      </c>
      <c r="AY30" s="430"/>
      <c r="AZ30" s="430"/>
    </row>
    <row r="31" spans="2:52" ht="15.75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30" t="str">
        <f>IF(AT25=AT26,"",IF(AT34=AT35,AL35,IF(AT34&lt;AT35,AL34,AL35)))</f>
        <v/>
      </c>
      <c r="AY31" s="430"/>
      <c r="AZ31" s="430"/>
    </row>
    <row r="32" spans="2:52" ht="15.75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31" t="str">
        <f>IF(Y7="","",IF(Y7&lt;Y8,Q7,Q8))</f>
        <v/>
      </c>
      <c r="AY32" s="431"/>
      <c r="AZ32" s="431"/>
    </row>
    <row r="33" spans="3:52" ht="15.75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31" t="str">
        <f>IF(Y19="","",IF(Y19&lt;Y20,Q19,Q20))</f>
        <v/>
      </c>
      <c r="AY33" s="431"/>
      <c r="AZ33" s="431"/>
    </row>
    <row r="34" spans="3:52" ht="15.75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31" t="str">
        <f>IF(Y31="","",IF(Y31&lt;Y32,Q31,Q32))</f>
        <v/>
      </c>
      <c r="AY34" s="431"/>
      <c r="AZ34" s="431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31" t="str">
        <f>IF(Y43="","",IF(Y43&lt;Y44,Q43,Q44))</f>
        <v/>
      </c>
      <c r="AY35" s="431"/>
      <c r="AZ35" s="431"/>
    </row>
    <row r="36" spans="3:52">
      <c r="F36" s="153"/>
      <c r="Z36" s="76"/>
      <c r="AI36" s="81"/>
      <c r="AV36" s="92">
        <v>9</v>
      </c>
      <c r="AW36" s="22" t="s">
        <v>20</v>
      </c>
      <c r="AX36" s="458" t="str">
        <f>IF(O4="","",IF(O4&lt;O5,G4,G5))</f>
        <v/>
      </c>
      <c r="AY36" s="458"/>
      <c r="AZ36" s="458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8" t="str">
        <f>IF(O10="","",IF(O10&lt;O11,G10,G11))</f>
        <v/>
      </c>
      <c r="AY37" s="458"/>
      <c r="AZ37" s="458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8" t="str">
        <f>IF(O16="","",IF(O16&lt;O17,G16,G17))</f>
        <v/>
      </c>
      <c r="AY38" s="458"/>
      <c r="AZ38" s="458"/>
    </row>
    <row r="39" spans="3:52">
      <c r="F39" s="153"/>
      <c r="Z39" s="76"/>
      <c r="AV39" s="92">
        <v>9</v>
      </c>
      <c r="AW39" s="22" t="s">
        <v>20</v>
      </c>
      <c r="AX39" s="458" t="str">
        <f>IF(O22="","",IF(O22&lt;O23,G22,G23))</f>
        <v/>
      </c>
      <c r="AY39" s="458"/>
      <c r="AZ39" s="458"/>
    </row>
    <row r="40" spans="3:52" ht="15.75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8" t="str">
        <f>IF(O28="","",IF(O28&lt;O29,G28,G29))</f>
        <v/>
      </c>
      <c r="AY40" s="458"/>
      <c r="AZ40" s="458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8" t="str">
        <f>IF(O34="","",IF(O34&lt;O35,G34,G35))</f>
        <v/>
      </c>
      <c r="AY41" s="458"/>
      <c r="AZ41" s="458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8" t="str">
        <f>IF(O40="","",IF(O40&lt;O41,G40,G41))</f>
        <v/>
      </c>
      <c r="AY42" s="458"/>
      <c r="AZ42" s="458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8" t="str">
        <f>IF(O46="","",IF(O46&lt;O47,G46,G47))</f>
        <v/>
      </c>
      <c r="AY43" s="458"/>
      <c r="AZ43" s="458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75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Александар Нолевски (106)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24"/>
      <c r="AY50" s="424"/>
      <c r="AZ50" s="424"/>
    </row>
    <row r="51" spans="46:52">
      <c r="AW51" s="4"/>
      <c r="AX51" s="424"/>
      <c r="AY51" s="424"/>
      <c r="AZ51" s="424"/>
    </row>
    <row r="52" spans="46:52">
      <c r="AW52" s="4"/>
      <c r="AX52" s="424"/>
      <c r="AY52" s="424"/>
      <c r="AZ52" s="424"/>
    </row>
  </sheetData>
  <mergeCells count="28">
    <mergeCell ref="C1:D1"/>
    <mergeCell ref="AX15:AX17"/>
    <mergeCell ref="AW16:AW18"/>
    <mergeCell ref="AY16:AY18"/>
    <mergeCell ref="AY19:AY21"/>
    <mergeCell ref="AX20:AX23"/>
    <mergeCell ref="AW21:AW23"/>
    <mergeCell ref="AY22:AY23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AX51:AZ51"/>
    <mergeCell ref="AX52:AZ52"/>
    <mergeCell ref="AX39:AZ39"/>
    <mergeCell ref="AX40:AZ40"/>
    <mergeCell ref="AX41:AZ41"/>
    <mergeCell ref="AX42:AZ42"/>
    <mergeCell ref="AX43:AZ43"/>
    <mergeCell ref="AX50:AZ50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 tint="0.39997558519241921"/>
  </sheetPr>
  <dimension ref="B1:BP52"/>
  <sheetViews>
    <sheetView tabSelected="1" topLeftCell="AL9" zoomScale="90" zoomScaleNormal="90" workbookViewId="0">
      <selection activeCell="BL21" sqref="BL21"/>
    </sheetView>
  </sheetViews>
  <sheetFormatPr defaultRowHeight="15"/>
  <cols>
    <col min="2" max="2" width="11.85546875" customWidth="1"/>
    <col min="4" max="4" width="31.42578125" customWidth="1"/>
    <col min="5" max="5" width="24" style="58" customWidth="1"/>
    <col min="6" max="6" width="3.7109375" customWidth="1"/>
    <col min="7" max="7" width="8.8554687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8.85546875" style="2"/>
    <col min="28" max="28" width="31.42578125" style="2" customWidth="1"/>
    <col min="29" max="36" width="3" style="2" customWidth="1"/>
    <col min="37" max="37" width="8.8554687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1" width="31.42578125" customWidth="1"/>
    <col min="62" max="62" width="39.5703125" bestFit="1" customWidth="1"/>
  </cols>
  <sheetData>
    <row r="1" spans="2:68">
      <c r="C1" s="447" t="s">
        <v>61</v>
      </c>
      <c r="D1" s="435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Филип Младеновски (70)</v>
      </c>
      <c r="E3" s="58" t="s">
        <v>530</v>
      </c>
      <c r="F3">
        <v>1</v>
      </c>
      <c r="G3" s="47">
        <v>1</v>
      </c>
      <c r="H3" s="70" t="str">
        <f>IF(G3="","",VLOOKUP(G3,$C$3:$F$26,2,FALSE))</f>
        <v>Филип Младеновски (70)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>Александар Нолевски (106)</v>
      </c>
      <c r="G4" s="35"/>
      <c r="Q4" s="62"/>
      <c r="R4" s="74" t="str">
        <f>H3</f>
        <v>Филип Младеновски (70)</v>
      </c>
      <c r="S4" s="75">
        <v>14</v>
      </c>
      <c r="T4" s="75">
        <v>11</v>
      </c>
      <c r="U4" s="75">
        <v>11</v>
      </c>
      <c r="V4" s="75">
        <v>11</v>
      </c>
      <c r="W4" s="75"/>
      <c r="X4" s="75"/>
      <c r="Y4" s="75"/>
      <c r="Z4" s="17">
        <f>IF(S4="","",SUMPRODUCT(--(S4:Y4&gt;S5:Y5)))</f>
        <v>3</v>
      </c>
    </row>
    <row r="5" spans="2:68" ht="15.75">
      <c r="B5" s="47" t="s">
        <v>27</v>
      </c>
      <c r="C5" s="47">
        <v>3</v>
      </c>
      <c r="D5" s="27" t="str">
        <f>IF(' II'!$X$2="","",' II'!$X$2)</f>
        <v>Алeксандар Марковиќ (3)</v>
      </c>
      <c r="F5">
        <v>2</v>
      </c>
      <c r="G5" s="48">
        <v>20</v>
      </c>
      <c r="H5" s="18" t="str">
        <f>IF(G5="","",VLOOKUP(G5,$C$3:$F$26,2,FALSE))</f>
        <v>Нико Доага (190)</v>
      </c>
      <c r="I5" s="57">
        <v>11</v>
      </c>
      <c r="J5" s="57">
        <v>11</v>
      </c>
      <c r="K5" s="57">
        <v>11</v>
      </c>
      <c r="L5" s="57"/>
      <c r="M5" s="57"/>
      <c r="N5" s="57"/>
      <c r="O5" s="57"/>
      <c r="P5" s="17">
        <f>IF(I5="","",SUMPRODUCT(--(I5:O5&gt;I6:O6)))</f>
        <v>3</v>
      </c>
      <c r="R5" s="74" t="str">
        <f>IF(P5="","",IF(P5&gt;P6,H5,H6))</f>
        <v>Нико Доага (190)</v>
      </c>
      <c r="S5" s="75">
        <v>16</v>
      </c>
      <c r="T5" s="75">
        <v>3</v>
      </c>
      <c r="U5" s="75">
        <v>5</v>
      </c>
      <c r="V5" s="75">
        <v>3</v>
      </c>
      <c r="W5" s="75"/>
      <c r="X5" s="75"/>
      <c r="Y5" s="75"/>
      <c r="Z5" s="17">
        <f>IF(S4="","",SUMPRODUCT(--(S4:Y4&lt;S5:Y5)))</f>
        <v>1</v>
      </c>
    </row>
    <row r="6" spans="2:68" ht="16.5" thickBot="1">
      <c r="B6" s="49" t="s">
        <v>54</v>
      </c>
      <c r="C6" s="49">
        <v>4</v>
      </c>
      <c r="D6" s="28" t="str">
        <f>IF(' II'!$X$3="","",' II'!$X$3)</f>
        <v>Лука Огненоски (15)</v>
      </c>
      <c r="F6">
        <v>3</v>
      </c>
      <c r="G6" s="48">
        <v>10</v>
      </c>
      <c r="H6" s="18" t="str">
        <f>IF(G6="","",VLOOKUP(G6,$C$3:$F$26,2,FALSE))</f>
        <v>Славчо Спасеноски  (278)</v>
      </c>
      <c r="I6" s="57">
        <v>9</v>
      </c>
      <c r="J6" s="57">
        <v>7</v>
      </c>
      <c r="K6" s="57">
        <v>7</v>
      </c>
      <c r="L6" s="57"/>
      <c r="M6" s="57"/>
      <c r="N6" s="57"/>
      <c r="O6" s="57"/>
      <c r="P6" s="17">
        <f>IF(I5="","",SUMPRODUCT(--(I5:O5&lt;I6:O6)))</f>
        <v>0</v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Венко Стојанов (49)</v>
      </c>
      <c r="G7" s="153"/>
      <c r="AA7" s="76"/>
      <c r="AB7" s="96" t="str">
        <f>IF(Z4="","",IF(Z4&gt;Z5,R4,R5))</f>
        <v>Филип Младеновски (70)</v>
      </c>
      <c r="AC7" s="75">
        <v>11</v>
      </c>
      <c r="AD7" s="75">
        <v>11</v>
      </c>
      <c r="AE7" s="75">
        <v>11</v>
      </c>
      <c r="AF7" s="75"/>
      <c r="AG7" s="75"/>
      <c r="AH7" s="75"/>
      <c r="AI7" s="75"/>
      <c r="AJ7" s="17">
        <f>IF(AC7="","",SUMPRODUCT(--(AC7:AI7&gt;AC8:AI8)))</f>
        <v>3</v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>Христијан Јовановски  (2)</v>
      </c>
      <c r="G8" s="153"/>
      <c r="AA8" s="82"/>
      <c r="AB8" s="96" t="str">
        <f>IF(Z10="","",IF(Z10&gt;Z11,R10,R11))</f>
        <v>Андреј Стојановски (47)</v>
      </c>
      <c r="AC8" s="75">
        <v>4</v>
      </c>
      <c r="AD8" s="75">
        <v>9</v>
      </c>
      <c r="AE8" s="75">
        <v>8</v>
      </c>
      <c r="AF8" s="75"/>
      <c r="AG8" s="75"/>
      <c r="AH8" s="75"/>
      <c r="AI8" s="75"/>
      <c r="AJ8" s="17">
        <f>IF(AC7="","",SUMPRODUCT(--(AC7:AI7&lt;AC8:AI8)))</f>
        <v>0</v>
      </c>
    </row>
    <row r="9" spans="2:68" ht="15.75">
      <c r="B9" s="47" t="s">
        <v>30</v>
      </c>
      <c r="C9" s="47">
        <v>7</v>
      </c>
      <c r="D9" s="27" t="str">
        <f>IF(IV!$X$2="","",IV!$X$2)</f>
        <v>Лука Стојчев (73)</v>
      </c>
      <c r="E9" s="58" t="s">
        <v>533</v>
      </c>
      <c r="F9">
        <v>4</v>
      </c>
      <c r="G9" s="206">
        <v>17</v>
      </c>
      <c r="H9" s="261" t="str">
        <f t="shared" ref="H9" si="0">IF(G9="","",VLOOKUP(G9,$C$3:$F$26,2,FALSE))</f>
        <v>Андреј Стојановски (47)</v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>Зоран Димитријевски (74)</v>
      </c>
      <c r="G10" s="259"/>
      <c r="H10" s="260"/>
      <c r="P10" s="258"/>
      <c r="R10" s="74" t="str">
        <f>H9</f>
        <v>Андреј Стојановски (47)</v>
      </c>
      <c r="S10" s="75">
        <v>11</v>
      </c>
      <c r="T10" s="75">
        <v>10</v>
      </c>
      <c r="U10" s="75">
        <v>11</v>
      </c>
      <c r="V10" s="75">
        <v>8</v>
      </c>
      <c r="W10" s="75">
        <v>12</v>
      </c>
      <c r="X10" s="75"/>
      <c r="Y10" s="75"/>
      <c r="Z10" s="17">
        <f>IF(S10="","",SUMPRODUCT(--(S10:Y10&gt;S11:Y11)))</f>
        <v>3</v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>Александар Јакимовски (178)</v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>Христијан Јованов (37)</v>
      </c>
      <c r="S11" s="75">
        <v>4</v>
      </c>
      <c r="T11" s="75">
        <v>12</v>
      </c>
      <c r="U11" s="75">
        <v>9</v>
      </c>
      <c r="V11" s="75">
        <v>11</v>
      </c>
      <c r="W11" s="75">
        <v>10</v>
      </c>
      <c r="X11" s="75"/>
      <c r="Y11" s="75"/>
      <c r="Z11" s="17">
        <f>IF(S10="","",SUMPRODUCT(--(S10:Y10&lt;S11:Y11)))</f>
        <v>2</v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>Славчо Спасеноски  (278)</v>
      </c>
      <c r="E12" s="58" t="s">
        <v>528</v>
      </c>
      <c r="F12">
        <v>5</v>
      </c>
      <c r="G12" s="48">
        <v>13</v>
      </c>
      <c r="H12" s="70" t="str">
        <f>IF(G12="","",VLOOKUP(G12,$C$3:$F$26,2,FALSE))</f>
        <v>Христијан Јованов (37)</v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>Сашо Љамов (127)</v>
      </c>
      <c r="G13" s="153"/>
      <c r="Z13" s="8"/>
      <c r="AK13" s="76"/>
      <c r="AL13" s="95" t="str">
        <f>IF(AJ7="","",IF(AJ7&gt;AJ8,AB7,AB8))</f>
        <v>Филип Младеновски (70)</v>
      </c>
      <c r="AM13" s="75">
        <v>11</v>
      </c>
      <c r="AN13" s="75">
        <v>11</v>
      </c>
      <c r="AO13" s="75">
        <v>11</v>
      </c>
      <c r="AP13" s="75">
        <v>11</v>
      </c>
      <c r="AQ13" s="75"/>
      <c r="AR13" s="75"/>
      <c r="AS13" s="75"/>
      <c r="AT13" s="17">
        <f>IF(AM13="","",SUMPRODUCT(--(AM13:AS13&gt;AM14:AS14)))</f>
        <v>3</v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>Марјан Крстев (52)</v>
      </c>
      <c r="G14" s="153"/>
      <c r="Z14" s="8"/>
      <c r="AK14" s="82"/>
      <c r="AL14" s="95" t="str">
        <f>IF(AJ19="","",IF(AJ19&gt;AJ20,AB19,AB20))</f>
        <v>Лука Стојчев (73)</v>
      </c>
      <c r="AM14" s="75">
        <v>4</v>
      </c>
      <c r="AN14" s="75">
        <v>13</v>
      </c>
      <c r="AO14" s="75">
        <v>3</v>
      </c>
      <c r="AP14" s="75">
        <v>5</v>
      </c>
      <c r="AQ14" s="75"/>
      <c r="AR14" s="75"/>
      <c r="AS14" s="75"/>
      <c r="AT14" s="17">
        <f>IF(AM13="","",SUMPRODUCT(--(AM13:AS13&lt;AM14:AS14)))</f>
        <v>1</v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>Христијан Јованов (37)</v>
      </c>
      <c r="E15" s="58" t="s">
        <v>528</v>
      </c>
      <c r="F15">
        <v>6</v>
      </c>
      <c r="G15" s="48">
        <v>11</v>
      </c>
      <c r="H15" s="70" t="str">
        <f>IF(G15="","",VLOOKUP(G15,$C$3:$F$26,2,FALSE))</f>
        <v>Сашо Љамов (127)</v>
      </c>
      <c r="AK15" s="76"/>
      <c r="AT15" s="79"/>
      <c r="BI15" s="436" t="str">
        <f>IF(BE25="","",IF(BE25&gt;BE26,AW25,AW26))</f>
        <v>Филип Младеновски (70)</v>
      </c>
    </row>
    <row r="16" spans="2:68" ht="16.5" thickBot="1">
      <c r="B16" s="206" t="s">
        <v>49</v>
      </c>
      <c r="C16" s="206">
        <v>14</v>
      </c>
      <c r="D16" s="26" t="str">
        <f>IF(VII!$X$3="","",VII!$X$3)</f>
        <v>Слободан Грковски (54)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>Сашо Љамов (127)</v>
      </c>
      <c r="S16" s="75">
        <v>11</v>
      </c>
      <c r="T16" s="75">
        <v>12</v>
      </c>
      <c r="U16" s="75">
        <v>12</v>
      </c>
      <c r="V16" s="75"/>
      <c r="W16" s="75"/>
      <c r="X16" s="75"/>
      <c r="Y16" s="75"/>
      <c r="Z16" s="17">
        <f>IF(S16="","",SUMPRODUCT(--(S16:Y16&gt;S17:Y17)))</f>
        <v>3</v>
      </c>
      <c r="AK16" s="76"/>
      <c r="AT16" s="80"/>
      <c r="BH16" s="436" t="str">
        <f>IF(BE25="","",IF(BE25&lt;BE26,AW25,AW26))</f>
        <v>Алeксандар Марковиќ (3)</v>
      </c>
      <c r="BI16" s="436"/>
      <c r="BJ16" s="437" t="str">
        <f>IF(BE25=BE26,"",IF(BE34=BE35,AW34,IF(BE34&gt;BE35,AW34,AW35)))</f>
        <v>Лука Стојчев (73)</v>
      </c>
    </row>
    <row r="17" spans="2:63" ht="15.75">
      <c r="B17" s="47" t="s">
        <v>34</v>
      </c>
      <c r="C17" s="47">
        <v>15</v>
      </c>
      <c r="D17" s="27" t="str">
        <f>IF(VIII!$X$2="","",VIII!$X$2)</f>
        <v>Даниел Главевски Зхоу  (108)</v>
      </c>
      <c r="F17">
        <v>7</v>
      </c>
      <c r="G17" s="48">
        <v>16</v>
      </c>
      <c r="H17" s="18" t="str">
        <f t="shared" ref="H17:H18" si="1">IF(G17="","",VLOOKUP(G17,$C$3:$F$26,2,FALSE))</f>
        <v>Мартин Калески (122)</v>
      </c>
      <c r="I17" s="57">
        <v>5</v>
      </c>
      <c r="J17" s="57">
        <v>7</v>
      </c>
      <c r="K17" s="57">
        <v>11</v>
      </c>
      <c r="L17" s="57">
        <v>6</v>
      </c>
      <c r="M17" s="57"/>
      <c r="N17" s="57"/>
      <c r="O17" s="57"/>
      <c r="P17" s="17">
        <f>IF(I17="","",SUMPRODUCT(--(I17:O17&gt;I18:O18)))</f>
        <v>1</v>
      </c>
      <c r="R17" s="74" t="str">
        <f>IF(P17="","",IF(P17&gt;P18,H17,H18))</f>
        <v>Христијан Јовановски  (2)</v>
      </c>
      <c r="S17" s="75">
        <v>2</v>
      </c>
      <c r="T17" s="75">
        <v>10</v>
      </c>
      <c r="U17" s="75">
        <v>10</v>
      </c>
      <c r="V17" s="75"/>
      <c r="W17" s="75"/>
      <c r="X17" s="75"/>
      <c r="Y17" s="75"/>
      <c r="Z17" s="17">
        <f>IF(S16="","",SUMPRODUCT(--(S16:Y16&lt;S17:Y17)))</f>
        <v>0</v>
      </c>
      <c r="AK17" s="76"/>
      <c r="AT17" s="80"/>
      <c r="BE17" s="8"/>
      <c r="BH17" s="436"/>
      <c r="BI17" s="436"/>
      <c r="BJ17" s="437"/>
    </row>
    <row r="18" spans="2:63" ht="16.5" thickBot="1">
      <c r="B18" s="49" t="s">
        <v>57</v>
      </c>
      <c r="C18" s="49">
        <v>16</v>
      </c>
      <c r="D18" s="28" t="str">
        <f>IF(VIII!$X$3="","",VIII!$X$3)</f>
        <v>Мартин Калески (122)</v>
      </c>
      <c r="F18">
        <v>8</v>
      </c>
      <c r="G18" s="48">
        <v>6</v>
      </c>
      <c r="H18" s="18" t="str">
        <f t="shared" si="1"/>
        <v>Христијан Јовановски  (2)</v>
      </c>
      <c r="I18" s="57">
        <v>11</v>
      </c>
      <c r="J18" s="57">
        <v>11</v>
      </c>
      <c r="K18" s="57">
        <v>8</v>
      </c>
      <c r="L18" s="57">
        <v>11</v>
      </c>
      <c r="M18" s="57"/>
      <c r="N18" s="57"/>
      <c r="O18" s="57"/>
      <c r="P18" s="17">
        <f>IF(I17="","",SUMPRODUCT(--(I17:O17&lt;I18:O18)))</f>
        <v>3</v>
      </c>
      <c r="AA18" s="76"/>
      <c r="AK18" s="76"/>
      <c r="AT18" s="80"/>
      <c r="BE18" s="8"/>
      <c r="BH18" s="436"/>
      <c r="BJ18" s="437"/>
    </row>
    <row r="19" spans="2:63" ht="16.5" customHeight="1" thickBot="1">
      <c r="B19" s="220" t="s">
        <v>35</v>
      </c>
      <c r="C19" s="204">
        <v>17</v>
      </c>
      <c r="D19" s="25" t="str">
        <f>IF(IX!$X$2="","",IX!$X$2)</f>
        <v>Андреј Стојановски (47)</v>
      </c>
      <c r="G19" s="153"/>
      <c r="AA19" s="76"/>
      <c r="AB19" s="96" t="str">
        <f>IF(Z16="","",IF(Z16&gt;Z17,R16,R17))</f>
        <v>Сашо Љамов (127)</v>
      </c>
      <c r="AC19" s="75">
        <v>6</v>
      </c>
      <c r="AD19" s="75">
        <v>8</v>
      </c>
      <c r="AE19" s="75">
        <v>5</v>
      </c>
      <c r="AF19" s="75"/>
      <c r="AG19" s="75"/>
      <c r="AH19" s="75"/>
      <c r="AI19" s="75"/>
      <c r="AJ19" s="17">
        <f>IF(AC19="","",SUMPRODUCT(--(AC19:AI19&gt;AC20:AI20)))</f>
        <v>0</v>
      </c>
      <c r="AT19" s="80"/>
      <c r="BJ19" s="438" t="str">
        <f>IF(BE25=BE26,"",IF(OR(BE34&gt;BE35,BE34&lt;BE35),"",AW35))</f>
        <v>Даниел Главевски Зхоу  (108)</v>
      </c>
    </row>
    <row r="20" spans="2:63" ht="16.5" customHeight="1" thickBot="1">
      <c r="B20" s="221" t="s">
        <v>48</v>
      </c>
      <c r="C20" s="206">
        <v>18</v>
      </c>
      <c r="D20" s="26" t="str">
        <f>IF(IX!$X$3="","",IX!$X$3)</f>
        <v>Бобан Лашкоски (17)</v>
      </c>
      <c r="G20" s="153"/>
      <c r="AA20" s="82"/>
      <c r="AB20" s="96" t="str">
        <f>IF(Z22="","",IF(Z22&gt;Z23,R22,R23))</f>
        <v>Лука Стојчев (73)</v>
      </c>
      <c r="AC20" s="75">
        <v>11</v>
      </c>
      <c r="AD20" s="75">
        <v>11</v>
      </c>
      <c r="AE20" s="75">
        <v>11</v>
      </c>
      <c r="AF20" s="75"/>
      <c r="AG20" s="75"/>
      <c r="AH20" s="75"/>
      <c r="AI20" s="75"/>
      <c r="AJ20" s="17">
        <f>IF(AC19="","",SUMPRODUCT(--(AC19:AI19&lt;AC20:AI20)))</f>
        <v>3</v>
      </c>
      <c r="AT20" s="80"/>
      <c r="BI20" s="439" t="s">
        <v>58</v>
      </c>
      <c r="BJ20" s="438"/>
    </row>
    <row r="21" spans="2:63" ht="16.5" customHeight="1" thickBot="1">
      <c r="B21" s="222" t="s">
        <v>36</v>
      </c>
      <c r="C21" s="47">
        <v>19</v>
      </c>
      <c r="D21" s="27" t="str">
        <f>IF(X!$X$2="","",X!$X$2)</f>
        <v>Ѓорѓе Бораниев (365)</v>
      </c>
      <c r="F21">
        <v>9</v>
      </c>
      <c r="G21" s="206">
        <v>4</v>
      </c>
      <c r="H21" s="261" t="str">
        <f t="shared" ref="H21" si="2">IF(G21="","",VLOOKUP(G21,$C$3:$F$26,2,FALSE))</f>
        <v>Лука Огненоски (15)</v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42" t="s">
        <v>59</v>
      </c>
      <c r="BI21" s="440"/>
      <c r="BJ21" s="465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>Нико Доага (190)</v>
      </c>
      <c r="G22" s="259"/>
      <c r="H22" s="260"/>
      <c r="P22" s="258"/>
      <c r="R22" s="74" t="str">
        <f>H21</f>
        <v>Лука Огненоски (15)</v>
      </c>
      <c r="S22" s="75">
        <v>7</v>
      </c>
      <c r="T22" s="75">
        <v>4</v>
      </c>
      <c r="U22" s="75">
        <v>4</v>
      </c>
      <c r="V22" s="75"/>
      <c r="W22" s="75"/>
      <c r="X22" s="75"/>
      <c r="Y22" s="75"/>
      <c r="Z22" s="17">
        <f>IF(S22="","",SUMPRODUCT(--(S22:Y22&gt;S23:Y23)))</f>
        <v>0</v>
      </c>
      <c r="AT22" s="80"/>
      <c r="BH22" s="443"/>
      <c r="BI22" s="440"/>
      <c r="BJ22" s="445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>Лука Стојчев (73)</v>
      </c>
      <c r="S23" s="75">
        <v>11</v>
      </c>
      <c r="T23" s="75">
        <v>11</v>
      </c>
      <c r="U23" s="75">
        <v>11</v>
      </c>
      <c r="V23" s="75"/>
      <c r="W23" s="75"/>
      <c r="X23" s="75"/>
      <c r="Y23" s="75"/>
      <c r="Z23" s="17">
        <f>IF(S22="","",SUMPRODUCT(--(S22:Y22&lt;S23:Y23)))</f>
        <v>3</v>
      </c>
      <c r="AT23" s="80"/>
      <c r="BH23" s="444"/>
      <c r="BI23" s="441"/>
      <c r="BJ23" s="446"/>
    </row>
    <row r="24" spans="2:63" ht="15.75">
      <c r="B24" s="35"/>
      <c r="C24" s="35"/>
      <c r="D24" s="2"/>
      <c r="E24" s="58" t="s">
        <v>532</v>
      </c>
      <c r="F24">
        <v>10</v>
      </c>
      <c r="G24" s="48">
        <v>7</v>
      </c>
      <c r="H24" s="70" t="str">
        <f>IF(G24="","",VLOOKUP(G24,$C$3:$F$26,2,FALSE))</f>
        <v>Лука Стојчев (73)</v>
      </c>
      <c r="AT24" s="80"/>
    </row>
    <row r="25" spans="2:63" ht="15.75">
      <c r="B25" s="35"/>
      <c r="C25" s="35"/>
      <c r="D25" s="2"/>
      <c r="G25" s="153"/>
      <c r="AJ25" s="8"/>
      <c r="AT25" s="80"/>
      <c r="AW25" s="97" t="str">
        <f>IF(AT13="","",IF(AT13&gt;AT14,AL13,AL14))</f>
        <v>Филип Младеновски (70)</v>
      </c>
      <c r="AX25" s="75">
        <v>7</v>
      </c>
      <c r="AY25" s="75">
        <v>11</v>
      </c>
      <c r="AZ25" s="75">
        <v>11</v>
      </c>
      <c r="BA25" s="75">
        <v>11</v>
      </c>
      <c r="BB25" s="75"/>
      <c r="BC25" s="75"/>
      <c r="BD25" s="75"/>
      <c r="BE25" s="17">
        <f>IF(AX25="","",SUMPRODUCT(--(AX25:BD25&gt;AX26:BD26)))</f>
        <v>3</v>
      </c>
    </row>
    <row r="26" spans="2:63" ht="15.75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>Алeксандар Марковиќ (3)</v>
      </c>
      <c r="AX26" s="75">
        <v>11</v>
      </c>
      <c r="AY26" s="75">
        <v>9</v>
      </c>
      <c r="AZ26" s="75">
        <v>4</v>
      </c>
      <c r="BA26" s="75">
        <v>4</v>
      </c>
      <c r="BB26" s="75"/>
      <c r="BC26" s="75"/>
      <c r="BD26" s="75"/>
      <c r="BE26" s="17">
        <f>IF(AX25="","",SUMPRODUCT(--(AX25:BD25&lt;AX26:BD26)))</f>
        <v>1</v>
      </c>
    </row>
    <row r="27" spans="2:63" ht="15.75">
      <c r="C27" s="35"/>
      <c r="D27" s="2"/>
      <c r="E27" s="58" t="s">
        <v>532</v>
      </c>
      <c r="F27">
        <v>11</v>
      </c>
      <c r="G27" s="48">
        <v>5</v>
      </c>
      <c r="H27" s="70" t="str">
        <f>IF(G27="","",VLOOKUP(G27,$C$3:$F$26,2,FALSE))</f>
        <v>Венко Стојанов (49)</v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Венко Стојанов (49)</v>
      </c>
      <c r="S28" s="75">
        <v>11</v>
      </c>
      <c r="T28" s="75">
        <v>11</v>
      </c>
      <c r="U28" s="75">
        <v>11</v>
      </c>
      <c r="V28" s="75"/>
      <c r="W28" s="75"/>
      <c r="X28" s="75"/>
      <c r="Y28" s="75"/>
      <c r="Z28" s="17">
        <f>IF(S28="","",SUMPRODUCT(--(S28:Y28&gt;S29:Y29)))</f>
        <v>3</v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>Филип Младеновски (70)</v>
      </c>
      <c r="BJ28" s="428"/>
      <c r="BK28" s="428"/>
    </row>
    <row r="29" spans="2:63" ht="15.75">
      <c r="C29" s="35"/>
      <c r="D29" s="2"/>
      <c r="F29">
        <v>12</v>
      </c>
      <c r="G29" s="48">
        <v>2</v>
      </c>
      <c r="H29" s="18" t="str">
        <f t="shared" ref="H29:H30" si="3">IF(G29="","",VLOOKUP(G29,$C$3:$F$26,2,FALSE))</f>
        <v>Александар Нолевски (106)</v>
      </c>
      <c r="I29" s="57">
        <v>6</v>
      </c>
      <c r="J29" s="57">
        <v>10</v>
      </c>
      <c r="K29" s="57">
        <v>11</v>
      </c>
      <c r="L29" s="57">
        <v>11</v>
      </c>
      <c r="M29" s="57">
        <v>11</v>
      </c>
      <c r="N29" s="57"/>
      <c r="O29" s="57"/>
      <c r="P29" s="17">
        <f>IF(I29="","",SUMPRODUCT(--(I29:O29&gt;I30:O30)))</f>
        <v>3</v>
      </c>
      <c r="R29" s="74" t="str">
        <f>IF(P29="","",IF(P29&gt;P30,H29,H30))</f>
        <v>Александар Нолевски (106)</v>
      </c>
      <c r="S29" s="75">
        <v>6</v>
      </c>
      <c r="T29" s="75">
        <v>3</v>
      </c>
      <c r="U29" s="75">
        <v>6</v>
      </c>
      <c r="V29" s="75"/>
      <c r="W29" s="75"/>
      <c r="X29" s="75"/>
      <c r="Y29" s="75"/>
      <c r="Z29" s="17">
        <f>IF(S28="","",SUMPRODUCT(--(S28:Y28&lt;S29:Y29)))</f>
        <v>0</v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>Алeксандар Марковиќ (3)</v>
      </c>
      <c r="BJ29" s="429"/>
      <c r="BK29" s="429"/>
    </row>
    <row r="30" spans="2:63" ht="16.5" thickBot="1">
      <c r="C30" s="35"/>
      <c r="D30" s="2"/>
      <c r="F30">
        <v>13</v>
      </c>
      <c r="G30" s="49">
        <v>14</v>
      </c>
      <c r="H30" s="18" t="str">
        <f t="shared" si="3"/>
        <v>Слободан Грковски (54)</v>
      </c>
      <c r="I30" s="57">
        <v>11</v>
      </c>
      <c r="J30" s="57">
        <v>12</v>
      </c>
      <c r="K30" s="57">
        <v>7</v>
      </c>
      <c r="L30" s="57">
        <v>6</v>
      </c>
      <c r="M30" s="57">
        <v>8</v>
      </c>
      <c r="N30" s="57"/>
      <c r="O30" s="57"/>
      <c r="P30" s="17">
        <f>IF(I29="","",SUMPRODUCT(--(I29:O29&lt;I30:O30)))</f>
        <v>2</v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>Лука Стојчев (73)</v>
      </c>
      <c r="BJ30" s="430"/>
      <c r="BK30" s="430"/>
    </row>
    <row r="31" spans="2:63" ht="15.75">
      <c r="C31" s="35"/>
      <c r="D31" s="2"/>
      <c r="G31" s="153"/>
      <c r="AA31" s="76"/>
      <c r="AB31" s="96" t="str">
        <f>IF(Z28="","",IF(Z28&gt;Z29,R28,R29))</f>
        <v>Венко Стојанов (49)</v>
      </c>
      <c r="AC31" s="75">
        <v>8</v>
      </c>
      <c r="AD31" s="75">
        <v>12</v>
      </c>
      <c r="AE31" s="75">
        <v>11</v>
      </c>
      <c r="AF31" s="75">
        <v>5</v>
      </c>
      <c r="AG31" s="75">
        <v>10</v>
      </c>
      <c r="AH31" s="75"/>
      <c r="AI31" s="75"/>
      <c r="AJ31" s="17">
        <f>IF(AC31="","",SUMPRODUCT(--(AC31:AI31&gt;AC32:AI32)))</f>
        <v>2</v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>Даниел Главевски Зхоу  (108)</v>
      </c>
      <c r="BJ31" s="430"/>
      <c r="BK31" s="430"/>
    </row>
    <row r="32" spans="2:63" ht="15.75">
      <c r="C32" s="35"/>
      <c r="D32" s="2"/>
      <c r="G32" s="153"/>
      <c r="AA32" s="82"/>
      <c r="AB32" s="96" t="str">
        <f>IF(Z34="","",IF(Z34&gt;Z35,R34,R35))</f>
        <v>Даниел Главевски Зхоу  (108)</v>
      </c>
      <c r="AC32" s="75">
        <v>11</v>
      </c>
      <c r="AD32" s="75">
        <v>10</v>
      </c>
      <c r="AE32" s="75">
        <v>7</v>
      </c>
      <c r="AF32" s="75">
        <v>11</v>
      </c>
      <c r="AG32" s="75">
        <v>12</v>
      </c>
      <c r="AH32" s="75"/>
      <c r="AI32" s="75"/>
      <c r="AJ32" s="17">
        <f>IF(AC31="","",SUMPRODUCT(--(AC31:AI31&lt;AC32:AI32)))</f>
        <v>3</v>
      </c>
      <c r="AT32" s="80"/>
      <c r="AV32" s="38"/>
      <c r="BG32" s="87">
        <v>5</v>
      </c>
      <c r="BH32" s="88" t="s">
        <v>80</v>
      </c>
      <c r="BI32" s="431" t="str">
        <f>IF(AJ7="","",IF(AJ7&lt;AJ8,AB7,AB8))</f>
        <v>Андреј Стојановски (47)</v>
      </c>
      <c r="BJ32" s="431"/>
      <c r="BK32" s="431"/>
    </row>
    <row r="33" spans="3:63" ht="15.75">
      <c r="C33" s="35"/>
      <c r="D33" s="2"/>
      <c r="E33" s="58" t="s">
        <v>533</v>
      </c>
      <c r="F33">
        <v>14</v>
      </c>
      <c r="G33" s="206">
        <v>19</v>
      </c>
      <c r="H33" s="261" t="str">
        <f t="shared" ref="H33" si="4">IF(G33="","",VLOOKUP(G33,$C$3:$F$26,2,FALSE))</f>
        <v>Ѓорѓе Бораниев (365)</v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>Сашо Љамов (127)</v>
      </c>
      <c r="BJ33" s="431"/>
      <c r="BK33" s="431"/>
    </row>
    <row r="34" spans="3:63" ht="15.75">
      <c r="C34" s="35"/>
      <c r="D34" s="2"/>
      <c r="G34" s="259"/>
      <c r="H34" s="260"/>
      <c r="P34" s="258"/>
      <c r="R34" s="74" t="str">
        <f>H33</f>
        <v>Ѓорѓе Бораниев (365)</v>
      </c>
      <c r="S34" s="75">
        <v>12</v>
      </c>
      <c r="T34" s="75">
        <v>7</v>
      </c>
      <c r="U34" s="75">
        <v>3</v>
      </c>
      <c r="V34" s="75">
        <v>11</v>
      </c>
      <c r="W34" s="75">
        <v>3</v>
      </c>
      <c r="X34" s="75"/>
      <c r="Y34" s="75"/>
      <c r="Z34" s="17">
        <f>IF(S34="","",SUMPRODUCT(--(S34:Y34&gt;S35:Y35)))</f>
        <v>2</v>
      </c>
      <c r="AK34" s="76"/>
      <c r="AT34" s="80"/>
      <c r="AV34" s="62"/>
      <c r="AW34" s="98" t="str">
        <f>IF(AT13="","",IF(AT13&lt;AT14,AL13,AL14))</f>
        <v>Лука Стојчев (73)</v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>Венко Стојанов (49)</v>
      </c>
      <c r="BJ34" s="431"/>
      <c r="BK34" s="431"/>
    </row>
    <row r="35" spans="3:63">
      <c r="G35" s="153"/>
      <c r="Q35" s="31"/>
      <c r="R35" s="74" t="str">
        <f>H36</f>
        <v>Даниел Главевски Зхоу  (108)</v>
      </c>
      <c r="S35" s="75">
        <v>10</v>
      </c>
      <c r="T35" s="75">
        <v>11</v>
      </c>
      <c r="U35" s="75">
        <v>11</v>
      </c>
      <c r="V35" s="75">
        <v>9</v>
      </c>
      <c r="W35" s="75">
        <v>11</v>
      </c>
      <c r="X35" s="75"/>
      <c r="Y35" s="75"/>
      <c r="Z35" s="17">
        <f>IF(S34="","",SUMPRODUCT(--(S34:Y34&lt;S35:Y35)))</f>
        <v>3</v>
      </c>
      <c r="AK35" s="76"/>
      <c r="AT35" s="80"/>
      <c r="AW35" s="98" t="str">
        <f>IF(AT37="","",IF(AT37&lt;AT38,AL37,AL38))</f>
        <v>Даниел Главевски Зхоу  (108)</v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>Александар Јакимовски (178)</v>
      </c>
      <c r="BJ35" s="431"/>
      <c r="BK35" s="431"/>
    </row>
    <row r="36" spans="3:63" ht="15.75">
      <c r="E36" s="58" t="s">
        <v>528</v>
      </c>
      <c r="F36">
        <v>15</v>
      </c>
      <c r="G36" s="48">
        <v>15</v>
      </c>
      <c r="H36" s="70" t="str">
        <f>IF(G36="","",VLOOKUP(G36,$C$3:$F$26,2,FALSE))</f>
        <v>Даниел Главевски Зхоу  (108)</v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>Нико Доага (190)</v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>Даниел Главевски Зхоу  (108)</v>
      </c>
      <c r="AM37" s="75">
        <v>11</v>
      </c>
      <c r="AN37" s="75">
        <v>6</v>
      </c>
      <c r="AO37" s="75">
        <v>6</v>
      </c>
      <c r="AP37" s="75">
        <v>6</v>
      </c>
      <c r="AQ37" s="75"/>
      <c r="AR37" s="75"/>
      <c r="AS37" s="75"/>
      <c r="AT37" s="17">
        <f>IF(AM37="","",SUMPRODUCT(--(AM37:AS37&gt;AM38:AS38)))</f>
        <v>1</v>
      </c>
      <c r="AU37" s="11"/>
      <c r="BG37" s="92">
        <v>9</v>
      </c>
      <c r="BH37" s="22" t="s">
        <v>20</v>
      </c>
      <c r="BI37" s="458" t="str">
        <f>IF(Z10="","",IF(Z10&lt;Z11,R10,R11))</f>
        <v>Христијан Јованов (37)</v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>Алeксандар Марковиќ (3)</v>
      </c>
      <c r="AM38" s="75">
        <v>8</v>
      </c>
      <c r="AN38" s="75">
        <v>11</v>
      </c>
      <c r="AO38" s="75">
        <v>11</v>
      </c>
      <c r="AP38" s="75">
        <v>11</v>
      </c>
      <c r="AQ38" s="75"/>
      <c r="AR38" s="75"/>
      <c r="AS38" s="75"/>
      <c r="AT38" s="17">
        <f>IF(AM37="","",SUMPRODUCT(--(AM37:AS37&lt;AM38:AS38)))</f>
        <v>3</v>
      </c>
      <c r="AU38" s="11"/>
      <c r="BG38" s="92">
        <v>9</v>
      </c>
      <c r="BH38" s="22" t="s">
        <v>20</v>
      </c>
      <c r="BI38" s="458" t="str">
        <f>IF(Z16="","",IF(Z16&lt;Z17,R16,R17))</f>
        <v>Христијан Јовановски  (2)</v>
      </c>
      <c r="BJ38" s="458"/>
      <c r="BK38" s="458"/>
    </row>
    <row r="39" spans="3:63" ht="15.75">
      <c r="E39" s="58" t="s">
        <v>528</v>
      </c>
      <c r="F39">
        <v>16</v>
      </c>
      <c r="G39" s="48">
        <v>9</v>
      </c>
      <c r="H39" s="70" t="str">
        <f>IF(G39="","",VLOOKUP(G39,$C$3:$F$26,2,FALSE))</f>
        <v>Александар Јакимовски (178)</v>
      </c>
      <c r="AK39" s="76"/>
      <c r="BG39" s="92">
        <v>9</v>
      </c>
      <c r="BH39" s="22" t="s">
        <v>20</v>
      </c>
      <c r="BI39" s="458" t="str">
        <f>IF(Z22="","",IF(Z22&lt;Z23,R22,R23))</f>
        <v>Лука Огненоски (15)</v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>Александар Јакимовски (178)</v>
      </c>
      <c r="S40" s="75">
        <v>11</v>
      </c>
      <c r="T40" s="75">
        <v>11</v>
      </c>
      <c r="U40" s="75">
        <v>11</v>
      </c>
      <c r="V40" s="75"/>
      <c r="W40" s="75"/>
      <c r="X40" s="75"/>
      <c r="Y40" s="75"/>
      <c r="Z40" s="17">
        <f>IF(S40="","",SUMPRODUCT(--(S40:Y40&gt;S41:Y41)))</f>
        <v>3</v>
      </c>
      <c r="AK40" s="76"/>
      <c r="BG40" s="92">
        <v>9</v>
      </c>
      <c r="BH40" s="22" t="s">
        <v>20</v>
      </c>
      <c r="BI40" s="458" t="str">
        <f>IF(Z28="","",IF(Z28&lt;Z29,R28,R29))</f>
        <v>Александар Нолевски (106)</v>
      </c>
      <c r="BJ40" s="458"/>
      <c r="BK40" s="458"/>
    </row>
    <row r="41" spans="3:63" ht="15.75">
      <c r="F41">
        <v>17</v>
      </c>
      <c r="G41" s="48">
        <v>18</v>
      </c>
      <c r="H41" s="18" t="str">
        <f t="shared" ref="H41:H42" si="5">IF(G41="","",VLOOKUP(G41,$C$3:$F$26,2,FALSE))</f>
        <v>Бобан Лашкоски (17)</v>
      </c>
      <c r="I41" s="57">
        <v>5</v>
      </c>
      <c r="J41" s="57">
        <v>3</v>
      </c>
      <c r="K41" s="57">
        <v>15</v>
      </c>
      <c r="L41" s="57">
        <v>11</v>
      </c>
      <c r="M41" s="57">
        <v>11</v>
      </c>
      <c r="N41" s="57"/>
      <c r="O41" s="57"/>
      <c r="P41" s="17">
        <f>IF(I41="","",SUMPRODUCT(--(I41:O41&gt;I42:O42)))</f>
        <v>3</v>
      </c>
      <c r="R41" s="74" t="str">
        <f>IF(P41="","",IF(P41&gt;P42,H41,H42))</f>
        <v>Бобан Лашкоски (17)</v>
      </c>
      <c r="S41" s="75">
        <v>7</v>
      </c>
      <c r="T41" s="75">
        <v>6</v>
      </c>
      <c r="U41" s="75">
        <v>8</v>
      </c>
      <c r="V41" s="75"/>
      <c r="W41" s="75"/>
      <c r="X41" s="75"/>
      <c r="Y41" s="75"/>
      <c r="Z41" s="17">
        <f>IF(S40="","",SUMPRODUCT(--(S40:Y40&lt;S41:Y41)))</f>
        <v>0</v>
      </c>
      <c r="AJ41" s="8"/>
      <c r="AK41" s="76"/>
      <c r="BG41" s="92">
        <v>9</v>
      </c>
      <c r="BH41" s="22" t="s">
        <v>20</v>
      </c>
      <c r="BI41" s="458" t="str">
        <f>IF(Z34="","",IF(Z34&lt;Z35,R34,R35))</f>
        <v>Ѓорѓе Бораниев (365)</v>
      </c>
      <c r="BJ41" s="458"/>
      <c r="BK41" s="458"/>
    </row>
    <row r="42" spans="3:63" ht="15.75">
      <c r="F42">
        <v>18</v>
      </c>
      <c r="G42" s="48">
        <v>8</v>
      </c>
      <c r="H42" s="18" t="str">
        <f t="shared" si="5"/>
        <v>Зоран Димитријевски (74)</v>
      </c>
      <c r="I42" s="57">
        <v>11</v>
      </c>
      <c r="J42" s="57">
        <v>11</v>
      </c>
      <c r="K42" s="57">
        <v>13</v>
      </c>
      <c r="L42" s="57">
        <v>9</v>
      </c>
      <c r="M42" s="57">
        <v>9</v>
      </c>
      <c r="N42" s="57"/>
      <c r="O42" s="57"/>
      <c r="P42" s="17">
        <f>IF(I41="","",SUMPRODUCT(--(I41:O41&lt;I42:O42)))</f>
        <v>2</v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>Бобан Лашкоски (17)</v>
      </c>
      <c r="BJ42" s="458"/>
      <c r="BK42" s="458"/>
    </row>
    <row r="43" spans="3:63">
      <c r="G43" s="153"/>
      <c r="AA43" s="76"/>
      <c r="AB43" s="96" t="str">
        <f>IF(Z40="","",IF(Z40&gt;Z41,R40,R41))</f>
        <v>Александар Јакимовски (178)</v>
      </c>
      <c r="AC43" s="75">
        <v>11</v>
      </c>
      <c r="AD43" s="75">
        <v>6</v>
      </c>
      <c r="AE43" s="75">
        <v>7</v>
      </c>
      <c r="AF43" s="75">
        <v>11</v>
      </c>
      <c r="AG43" s="75">
        <v>7</v>
      </c>
      <c r="AH43" s="75"/>
      <c r="AI43" s="75"/>
      <c r="AJ43" s="17">
        <f>IF(AC43="","",SUMPRODUCT(--(AC43:AI43&gt;AC44:AI44)))</f>
        <v>2</v>
      </c>
      <c r="BG43" s="92">
        <v>9</v>
      </c>
      <c r="BH43" s="22" t="s">
        <v>20</v>
      </c>
      <c r="BI43" s="458" t="str">
        <f>IF(Z46="","",IF(Z46&lt;Z47,R46,R47))</f>
        <v>Марјан Крстев</v>
      </c>
      <c r="BJ43" s="458"/>
      <c r="BK43" s="458"/>
    </row>
    <row r="44" spans="3:63">
      <c r="G44" s="153"/>
      <c r="AA44" s="82"/>
      <c r="AB44" s="96" t="str">
        <f>IF(Z46="","",IF(Z46&gt;Z47,R46,R47))</f>
        <v>Алeксандар Марковиќ (3)</v>
      </c>
      <c r="AC44" s="75">
        <v>6</v>
      </c>
      <c r="AD44" s="75">
        <v>11</v>
      </c>
      <c r="AE44" s="75">
        <v>11</v>
      </c>
      <c r="AF44" s="75">
        <v>8</v>
      </c>
      <c r="AG44" s="75">
        <v>11</v>
      </c>
      <c r="AH44" s="75"/>
      <c r="AI44" s="75"/>
      <c r="AJ44" s="17">
        <f>IF(AC43="","",SUMPRODUCT(--(AC43:AI43&lt;AC44:AI44)))</f>
        <v>3</v>
      </c>
    </row>
    <row r="45" spans="3:63" ht="15.75">
      <c r="F45">
        <v>19</v>
      </c>
      <c r="G45" s="206">
        <v>12</v>
      </c>
      <c r="H45" s="261" t="str">
        <f>IF(G45="","",VLOOKUP(G45,$C$3:$F$26,2,FALSE))</f>
        <v>Марјан Крстев (52)</v>
      </c>
      <c r="I45" s="59"/>
      <c r="Z45" s="8"/>
      <c r="AA45" s="76"/>
    </row>
    <row r="46" spans="3:63" ht="15.75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">
        <v>179</v>
      </c>
      <c r="S46" s="75">
        <v>4</v>
      </c>
      <c r="T46" s="75">
        <v>5</v>
      </c>
      <c r="U46" s="75">
        <v>7</v>
      </c>
      <c r="V46" s="75"/>
      <c r="W46" s="75"/>
      <c r="X46" s="75"/>
      <c r="Y46" s="75"/>
      <c r="Z46" s="17">
        <f>IF(S46="","",SUMPRODUCT(--(S46:Y46&gt;S47:Y47)))</f>
        <v>0</v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>Алeксандар Марковиќ (3)</v>
      </c>
      <c r="S47" s="75">
        <v>11</v>
      </c>
      <c r="T47" s="75">
        <v>11</v>
      </c>
      <c r="U47" s="75">
        <v>11</v>
      </c>
      <c r="V47" s="75"/>
      <c r="W47" s="75"/>
      <c r="X47" s="75"/>
      <c r="Y47" s="75"/>
      <c r="Z47" s="17">
        <f>IF(S46="","",SUMPRODUCT(--(S46:Y46&lt;S47:Y47)))</f>
        <v>3</v>
      </c>
    </row>
    <row r="48" spans="3:63" ht="15.75">
      <c r="E48" s="58" t="s">
        <v>531</v>
      </c>
      <c r="F48">
        <v>20</v>
      </c>
      <c r="G48" s="48">
        <v>3</v>
      </c>
      <c r="H48" s="70" t="str">
        <f>IF(G48="","",VLOOKUP(G48,$C$3:$F$26,2,FALSE))</f>
        <v>Алeксандар Марковиќ (3)</v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51:BK51"/>
    <mergeCell ref="BI52:BK52"/>
    <mergeCell ref="BI39:BK39"/>
    <mergeCell ref="BI40:BK40"/>
    <mergeCell ref="BI41:BK41"/>
    <mergeCell ref="BI42:BK42"/>
    <mergeCell ref="BI43:BK43"/>
    <mergeCell ref="BI50:BK50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C1:D1"/>
    <mergeCell ref="BI15:BI17"/>
    <mergeCell ref="BH16:BH18"/>
    <mergeCell ref="BJ16:BJ18"/>
    <mergeCell ref="BJ19:BJ21"/>
    <mergeCell ref="BI20:BI23"/>
    <mergeCell ref="BH21:BH23"/>
    <mergeCell ref="BJ22:BJ2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 tint="0.39997558519241921"/>
  </sheetPr>
  <dimension ref="B1:BP52"/>
  <sheetViews>
    <sheetView workbookViewId="0">
      <selection activeCell="D27" sqref="D27"/>
    </sheetView>
  </sheetViews>
  <sheetFormatPr defaultRowHeight="15"/>
  <cols>
    <col min="2" max="2" width="11.85546875" customWidth="1"/>
    <col min="4" max="4" width="31.42578125" customWidth="1"/>
    <col min="5" max="5" width="18.140625" style="316" customWidth="1"/>
    <col min="6" max="6" width="4.7109375" customWidth="1"/>
    <col min="7" max="7" width="9.140625" style="58"/>
    <col min="8" max="8" width="31.425781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40625" style="11" customWidth="1"/>
    <col min="18" max="18" width="31.42578125" style="2" customWidth="1"/>
    <col min="19" max="26" width="3" style="2" customWidth="1"/>
    <col min="27" max="27" width="9.140625" style="2"/>
    <col min="28" max="28" width="31.42578125" style="2" customWidth="1"/>
    <col min="29" max="36" width="3" style="2" customWidth="1"/>
    <col min="37" max="37" width="9.140625" style="2"/>
    <col min="38" max="38" width="31.42578125" style="2" customWidth="1"/>
    <col min="39" max="46" width="3.140625" style="2" customWidth="1"/>
    <col min="47" max="47" width="4.5703125" style="2" customWidth="1"/>
    <col min="48" max="48" width="4.5703125" customWidth="1"/>
    <col min="49" max="49" width="31.42578125" style="2" customWidth="1"/>
    <col min="50" max="57" width="3" style="2" customWidth="1"/>
    <col min="60" max="62" width="31.42578125" customWidth="1"/>
  </cols>
  <sheetData>
    <row r="1" spans="2:68">
      <c r="C1" s="447" t="s">
        <v>61</v>
      </c>
      <c r="D1" s="435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.75" thickBot="1">
      <c r="B2" s="238" t="s">
        <v>125</v>
      </c>
      <c r="C2" s="238" t="s">
        <v>78</v>
      </c>
    </row>
    <row r="3" spans="2:68" ht="15.75">
      <c r="B3" s="47" t="s">
        <v>25</v>
      </c>
      <c r="C3" s="47">
        <v>1</v>
      </c>
      <c r="D3" s="23" t="str">
        <f>IF(' I'!$X$2="","",' I'!$X$2)</f>
        <v>Филип Младеновски (70)</v>
      </c>
      <c r="E3" s="316" t="s">
        <v>524</v>
      </c>
      <c r="F3">
        <v>1</v>
      </c>
      <c r="G3" s="47">
        <v>1</v>
      </c>
      <c r="H3" s="70" t="str">
        <f>IF(G3="","",VLOOKUP(G3,$C$3:$E$26,2,FALSE))</f>
        <v>Филип Младеновски (70)</v>
      </c>
      <c r="I3" s="59"/>
      <c r="J3" s="60"/>
      <c r="K3" s="60"/>
      <c r="L3" s="60"/>
      <c r="M3" s="60"/>
      <c r="N3" s="60"/>
      <c r="O3" s="60"/>
      <c r="P3" s="61"/>
    </row>
    <row r="4" spans="2:68" ht="16.5" thickBot="1">
      <c r="B4" s="206" t="s">
        <v>55</v>
      </c>
      <c r="C4" s="206">
        <v>2</v>
      </c>
      <c r="D4" s="26" t="str">
        <f>IF(' I'!$X$3="","",' I'!$X$3)</f>
        <v>Александар Нолевски (106)</v>
      </c>
      <c r="G4" s="35"/>
      <c r="Q4" s="62"/>
      <c r="R4" s="74" t="str">
        <f>H3</f>
        <v>Филип Младеновски (70)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75">
      <c r="B5" s="47" t="s">
        <v>27</v>
      </c>
      <c r="C5" s="47">
        <v>3</v>
      </c>
      <c r="D5" s="27" t="str">
        <f>IF(' II'!$X$2="","",' II'!$X$2)</f>
        <v>Алeксандар Марковиќ (3)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5" thickBot="1">
      <c r="B6" s="49" t="s">
        <v>54</v>
      </c>
      <c r="C6" s="49">
        <v>4</v>
      </c>
      <c r="D6" s="28" t="str">
        <f>IF(' II'!$X$3="","",' II'!$X$3)</f>
        <v>Лука Огненоски (15)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75">
      <c r="B7" s="204" t="s">
        <v>29</v>
      </c>
      <c r="C7" s="204">
        <v>5</v>
      </c>
      <c r="D7" s="25" t="str">
        <f>IF(' III'!$X$2="","",' III'!$X$2)</f>
        <v>Венко Стојанов (49)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5" thickBot="1">
      <c r="B8" s="206" t="s">
        <v>53</v>
      </c>
      <c r="C8" s="206">
        <v>6</v>
      </c>
      <c r="D8" s="26" t="str">
        <f>IF(' III'!$X$3="","",' III'!$X$3)</f>
        <v>Христијан Јовановски  (2)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75">
      <c r="B9" s="47" t="s">
        <v>30</v>
      </c>
      <c r="C9" s="47">
        <v>7</v>
      </c>
      <c r="D9" s="27" t="str">
        <f>IF(IV!$X$2="","",IV!$X$2)</f>
        <v>Лука Стојчев (73)</v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5" thickBot="1">
      <c r="B10" s="49" t="s">
        <v>52</v>
      </c>
      <c r="C10" s="49">
        <v>8</v>
      </c>
      <c r="D10" s="28" t="str">
        <f>IF(IV!$X$3="","",IV!$X$3)</f>
        <v>Зоран Димитријевски (74)</v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75">
      <c r="B11" s="204" t="s">
        <v>31</v>
      </c>
      <c r="C11" s="204">
        <v>9</v>
      </c>
      <c r="D11" s="25" t="str">
        <f>IF(V!$X$2="","",V!$X$2)</f>
        <v>Александар Јакимовски (178)</v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5" thickBot="1">
      <c r="B12" s="206" t="s">
        <v>51</v>
      </c>
      <c r="C12" s="206">
        <v>10</v>
      </c>
      <c r="D12" s="26" t="str">
        <f>IF(V!$X$3="","",V!$X$3)</f>
        <v>Славчо Спасеноски  (278)</v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75">
      <c r="B13" s="47" t="s">
        <v>32</v>
      </c>
      <c r="C13" s="47">
        <v>11</v>
      </c>
      <c r="D13" s="27" t="str">
        <f>IF(VI!$X$2="","",VI!$X$2)</f>
        <v>Сашо Љамов (127)</v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5" thickBot="1">
      <c r="B14" s="49" t="s">
        <v>50</v>
      </c>
      <c r="C14" s="49">
        <v>12</v>
      </c>
      <c r="D14" s="28" t="str">
        <f>IF(VI!$X$3="","",VI!$X$3)</f>
        <v>Марјан Крстев (52)</v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75">
      <c r="B15" s="204" t="s">
        <v>33</v>
      </c>
      <c r="C15" s="204">
        <v>13</v>
      </c>
      <c r="D15" s="25" t="str">
        <f>IF(VII!$X$2="","",VII!$X$2)</f>
        <v>Христијан Јованов (37)</v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36" t="str">
        <f>IF(BE25="","",IF(BE25&gt;BE26,AW25,AW26))</f>
        <v/>
      </c>
    </row>
    <row r="16" spans="2:68" ht="16.5" thickBot="1">
      <c r="B16" s="206" t="s">
        <v>49</v>
      </c>
      <c r="C16" s="206">
        <v>14</v>
      </c>
      <c r="D16" s="26" t="str">
        <f>IF(VII!$X$3="","",VII!$X$3)</f>
        <v>Слободан Грковски (54)</v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36" t="str">
        <f>IF(BE25="","",IF(BE25&lt;BE26,AW25,AW26))</f>
        <v/>
      </c>
      <c r="BI16" s="436"/>
      <c r="BJ16" s="437" t="str">
        <f>IF(BE25=BE26,"",IF(BE34=BE35,AW34,IF(BE34&gt;BE35,AW34,AW35)))</f>
        <v/>
      </c>
    </row>
    <row r="17" spans="2:63" ht="15.75">
      <c r="B17" s="47" t="s">
        <v>34</v>
      </c>
      <c r="C17" s="47">
        <v>15</v>
      </c>
      <c r="D17" s="27" t="str">
        <f>IF(VIII!$X$2="","",VIII!$X$2)</f>
        <v>Даниел Главевски Зхоу  (108)</v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36"/>
      <c r="BI17" s="436"/>
      <c r="BJ17" s="437"/>
    </row>
    <row r="18" spans="2:63" ht="16.5" thickBot="1">
      <c r="B18" s="49" t="s">
        <v>57</v>
      </c>
      <c r="C18" s="49">
        <v>16</v>
      </c>
      <c r="D18" s="28" t="str">
        <f>IF(VIII!$X$3="","",VIII!$X$3)</f>
        <v>Мартин Калески (122)</v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36"/>
      <c r="BJ18" s="437"/>
    </row>
    <row r="19" spans="2:63" ht="16.5" thickBot="1">
      <c r="B19" s="220" t="s">
        <v>35</v>
      </c>
      <c r="C19" s="204">
        <v>17</v>
      </c>
      <c r="D19" s="25" t="str">
        <f>IF(IX!$X$2="","",IX!$X$2)</f>
        <v>Андреј Стојановски (47)</v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38" t="str">
        <f>IF(BE25=BE26,"",IF(OR(BE34&gt;BE35,BE34&lt;BE35),"",AW35))</f>
        <v/>
      </c>
    </row>
    <row r="20" spans="2:63" ht="16.5" thickBot="1">
      <c r="B20" s="221" t="s">
        <v>48</v>
      </c>
      <c r="C20" s="206">
        <v>18</v>
      </c>
      <c r="D20" s="26" t="str">
        <f>IF(IX!$X$3="","",IX!$X$3)</f>
        <v>Бобан Лашкоски (17)</v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39" t="s">
        <v>58</v>
      </c>
      <c r="BJ20" s="438"/>
    </row>
    <row r="21" spans="2:63" ht="16.5" thickBot="1">
      <c r="B21" s="222" t="s">
        <v>36</v>
      </c>
      <c r="C21" s="47">
        <v>19</v>
      </c>
      <c r="D21" s="27" t="str">
        <f>IF(X!$X$2="","",X!$X$2)</f>
        <v>Ѓорѓе Бораниев (365)</v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42" t="s">
        <v>59</v>
      </c>
      <c r="BI21" s="440"/>
      <c r="BJ21" s="438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>Нико Доага (190)</v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43"/>
      <c r="BI22" s="440"/>
      <c r="BJ22" s="445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44"/>
      <c r="BI23" s="441"/>
      <c r="BJ23" s="446"/>
    </row>
    <row r="24" spans="2:63" ht="16.5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75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5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75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Алeксандар Марковиќ (3)</v>
      </c>
      <c r="AT27" s="80"/>
      <c r="AV27" s="38"/>
      <c r="BG27" s="425" t="s">
        <v>81</v>
      </c>
      <c r="BH27" s="426"/>
      <c r="BI27" s="426"/>
      <c r="BJ27" s="426"/>
      <c r="BK27" s="427"/>
    </row>
    <row r="28" spans="2:63" ht="15.75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Алeксандар Марковиќ (3)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28" t="str">
        <f>IF(BE25="","",IF(BE25&gt;BE26,AW25,AW26))</f>
        <v/>
      </c>
      <c r="BJ28" s="428"/>
      <c r="BK28" s="428"/>
    </row>
    <row r="29" spans="2:63" ht="15.75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29" t="str">
        <f>IF(BE25="","",IF(BE25&lt;BE26,AW25,AW26))</f>
        <v/>
      </c>
      <c r="BJ29" s="429"/>
      <c r="BK29" s="429"/>
    </row>
    <row r="30" spans="2:63" ht="16.5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30" t="str">
        <f>IF(BE25=BE26,"",IF(BE34=BE35,AW34,IF(BE34&gt;BE35,AW34,AW35)))</f>
        <v/>
      </c>
      <c r="BJ30" s="430"/>
      <c r="BK30" s="430"/>
    </row>
    <row r="31" spans="2:63" ht="15.75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30" t="str">
        <f>IF(BE25=BE26,"",IF(BE34=BE35,AW35,IF(BE34&lt;BE35,AW34,AW35)))</f>
        <v/>
      </c>
      <c r="BJ31" s="430"/>
      <c r="BK31" s="430"/>
    </row>
    <row r="32" spans="2:63" ht="15.75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31" t="str">
        <f>IF(AJ7="","",IF(AJ7&lt;AJ8,AB7,AB8))</f>
        <v/>
      </c>
      <c r="BJ32" s="431"/>
      <c r="BK32" s="431"/>
    </row>
    <row r="33" spans="3:63" ht="15.75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31" t="str">
        <f>IF(AJ19="","",IF(AJ19&lt;AJ20,AB19,AB20))</f>
        <v/>
      </c>
      <c r="BJ33" s="431"/>
      <c r="BK33" s="431"/>
    </row>
    <row r="34" spans="3:63" ht="15.75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31" t="str">
        <f>IF(AJ31="","",IF(AJ31&lt;AJ32,AB31,AB32))</f>
        <v/>
      </c>
      <c r="BJ34" s="431"/>
      <c r="BK34" s="431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31" t="str">
        <f>IF(AJ43="","",IF(AJ43&lt;AJ44,AB43,AB44))</f>
        <v/>
      </c>
      <c r="BJ35" s="431"/>
      <c r="BK35" s="431"/>
    </row>
    <row r="36" spans="3:63" ht="15.75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8" t="str">
        <f>IF(Z4="","",IF(Z4&lt;Z5,R4,R5))</f>
        <v/>
      </c>
      <c r="BJ36" s="458"/>
      <c r="BK36" s="458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8" t="str">
        <f>IF(Z10="","",IF(Z10&lt;Z11,R10,R11))</f>
        <v/>
      </c>
      <c r="BJ37" s="458"/>
      <c r="BK37" s="458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8" t="str">
        <f>IF(Z16="","",IF(Z16&lt;Z17,R16,R17))</f>
        <v/>
      </c>
      <c r="BJ38" s="458"/>
      <c r="BK38" s="458"/>
    </row>
    <row r="39" spans="3:63" ht="15.75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8" t="str">
        <f>IF(Z22="","",IF(Z22&lt;Z23,R22,R23))</f>
        <v/>
      </c>
      <c r="BJ39" s="458"/>
      <c r="BK39" s="458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8" t="str">
        <f>IF(Z28="","",IF(Z28&lt;Z29,R28,R29))</f>
        <v/>
      </c>
      <c r="BJ40" s="458"/>
      <c r="BK40" s="458"/>
    </row>
    <row r="41" spans="3:63" ht="15.75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8" t="str">
        <f>IF(Z34="","",IF(Z34&lt;Z35,R34,R35))</f>
        <v/>
      </c>
      <c r="BJ41" s="458"/>
      <c r="BK41" s="458"/>
    </row>
    <row r="42" spans="3:63" ht="15.75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8" t="str">
        <f>IF(Z40="","",IF(Z40&lt;Z41,R40,R41))</f>
        <v/>
      </c>
      <c r="BJ42" s="458"/>
      <c r="BK42" s="458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8" t="str">
        <f>IF(Z46="","",IF(Z46&lt;Z47,R46,R47))</f>
        <v/>
      </c>
      <c r="BJ43" s="458"/>
      <c r="BK43" s="458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75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75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75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24"/>
      <c r="BJ50" s="424"/>
      <c r="BK50" s="424"/>
    </row>
    <row r="51" spans="8:63">
      <c r="H51"/>
      <c r="I51"/>
      <c r="J51"/>
      <c r="K51"/>
      <c r="L51"/>
      <c r="M51"/>
      <c r="N51"/>
      <c r="O51"/>
      <c r="P51"/>
      <c r="BH51" s="4"/>
      <c r="BI51" s="424"/>
      <c r="BJ51" s="424"/>
      <c r="BK51" s="424"/>
    </row>
    <row r="52" spans="8:63">
      <c r="H52"/>
      <c r="I52"/>
      <c r="J52"/>
      <c r="K52"/>
      <c r="L52"/>
      <c r="M52"/>
      <c r="N52"/>
      <c r="O52"/>
      <c r="P52"/>
      <c r="BH52" s="4"/>
      <c r="BI52" s="424"/>
      <c r="BJ52" s="424"/>
      <c r="BK52" s="424"/>
    </row>
  </sheetData>
  <mergeCells count="28">
    <mergeCell ref="BI42:BK42"/>
    <mergeCell ref="BI43:BK43"/>
    <mergeCell ref="BI37:BK37"/>
    <mergeCell ref="BI38:BK38"/>
    <mergeCell ref="BI39:BK39"/>
    <mergeCell ref="BI40:BK40"/>
    <mergeCell ref="BI41:BK41"/>
    <mergeCell ref="BI32:BK32"/>
    <mergeCell ref="BI33:BK33"/>
    <mergeCell ref="BI34:BK34"/>
    <mergeCell ref="BI35:BK35"/>
    <mergeCell ref="BI36:BK36"/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75"/>
  <cols>
    <col min="2" max="2" width="11.7109375" customWidth="1"/>
    <col min="4" max="4" width="31.42578125" customWidth="1"/>
    <col min="5" max="5" width="31.7109375" style="316" customWidth="1"/>
    <col min="6" max="6" width="9.140625" style="167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customWidth="1"/>
    <col min="18" max="25" width="3" customWidth="1"/>
    <col min="27" max="27" width="31.42578125" customWidth="1"/>
    <col min="28" max="35" width="3" customWidth="1"/>
    <col min="37" max="37" width="31.42578125" customWidth="1"/>
    <col min="38" max="45" width="3" customWidth="1"/>
    <col min="48" max="48" width="31.42578125" customWidth="1"/>
    <col min="49" max="56" width="3" customWidth="1"/>
    <col min="58" max="60" width="31.42578125" customWidth="1"/>
  </cols>
  <sheetData>
    <row r="1" spans="2:60">
      <c r="C1" s="447" t="s">
        <v>61</v>
      </c>
      <c r="D1" s="435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5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Филип Младеновски (70)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5" thickBot="1">
      <c r="B4" s="49" t="s">
        <v>55</v>
      </c>
      <c r="C4" s="49">
        <v>2</v>
      </c>
      <c r="D4" s="24" t="str">
        <f>IF(' I'!$X$3="","",' I'!$X$3)</f>
        <v>Александар Нолевски (106)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Алeксандар Марковиќ (3)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5" thickBot="1">
      <c r="B6" s="49" t="s">
        <v>54</v>
      </c>
      <c r="C6" s="49">
        <v>4</v>
      </c>
      <c r="D6" s="28" t="str">
        <f>IF(' II'!$X$3="","",' II'!$X$3)</f>
        <v>Лука Огненоски (15)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Венко Стојанов (49)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5" thickBot="1">
      <c r="B8" s="49" t="s">
        <v>53</v>
      </c>
      <c r="C8" s="49">
        <v>6</v>
      </c>
      <c r="D8" s="24" t="str">
        <f>IF(' III'!$X$3="","",' III'!$X$3)</f>
        <v>Христијан Јовановски  (2)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>Лука Стојчев (73)</v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5" thickBot="1">
      <c r="B10" s="49" t="s">
        <v>52</v>
      </c>
      <c r="C10" s="49">
        <v>8</v>
      </c>
      <c r="D10" s="28" t="str">
        <f>IF(IV!$X$3="","",IV!$X$3)</f>
        <v>Зоран Димитријевски (74)</v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>Александар Јакимовски (178)</v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5" thickBot="1">
      <c r="B12" s="49" t="s">
        <v>51</v>
      </c>
      <c r="C12" s="49">
        <v>10</v>
      </c>
      <c r="D12" s="24" t="str">
        <f>IF(V!$X$3="","",V!$X$3)</f>
        <v>Славчо Спасеноски  (278)</v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>Сашо Љамов (127)</v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5" thickBot="1">
      <c r="B14" s="49" t="s">
        <v>50</v>
      </c>
      <c r="C14" s="49">
        <v>12</v>
      </c>
      <c r="D14" s="28" t="str">
        <f>IF(VI!$X$3="","",VI!$X$3)</f>
        <v>Марјан Крстев (52)</v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>Христијан Јованов (37)</v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36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>Слободан Грковски (54)</v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36" t="str">
        <f>IF(BD33=BD34,"",IF(BD33="","",IF(BD33&lt;BD34,AV33,AV34)))</f>
        <v/>
      </c>
      <c r="BG16" s="436"/>
      <c r="BH16" s="437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>Даниел Главевски Зхоу  (108)</v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36"/>
      <c r="BG17" s="436"/>
      <c r="BH17" s="437"/>
    </row>
    <row r="18" spans="2:60" ht="16.350000000000001" customHeight="1" thickBot="1">
      <c r="B18" s="206" t="s">
        <v>57</v>
      </c>
      <c r="C18" s="206">
        <v>16</v>
      </c>
      <c r="D18" s="29" t="str">
        <f>IF(VIII!$X$3="","",VIII!$X$3)</f>
        <v>Мартин Калески (122)</v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36"/>
      <c r="BH18" s="437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>Андреј Стојановски (47)</v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38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>Бобан Лашкоски (17)</v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39" t="s">
        <v>58</v>
      </c>
      <c r="BH20" s="438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>Ѓорѓе Бораниев (365)</v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40"/>
      <c r="BH21" s="438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>Нико Доага (190)</v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3" t="s">
        <v>59</v>
      </c>
      <c r="BG22" s="440"/>
      <c r="BH22" s="445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4"/>
      <c r="BG23" s="441"/>
      <c r="BH23" s="446"/>
    </row>
    <row r="24" spans="2:60" ht="16.5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5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5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5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5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5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7.25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7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7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6" t="str">
        <f>IF(BD33=BD34,"",IF(BD33="","",IF(BD33&lt;BD34,AV33,AV34)))</f>
        <v/>
      </c>
      <c r="BG42" s="467"/>
      <c r="BH42" s="467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6"/>
      <c r="BH43" s="467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6"/>
      <c r="BH44" s="467"/>
    </row>
    <row r="45" spans="2:60" ht="16.350000000000001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38" t="str">
        <f>IF(BD33=BD34,"",IF(OR(BD41&gt;BD42,BD41&lt;BD42),"",AV42))</f>
        <v/>
      </c>
    </row>
    <row r="46" spans="2:60" ht="16.350000000000001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39" t="s">
        <v>58</v>
      </c>
      <c r="BH46" s="438"/>
    </row>
    <row r="47" spans="2:60" ht="16.350000000000001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40"/>
      <c r="BH47" s="465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3" t="s">
        <v>59</v>
      </c>
      <c r="BG48" s="440"/>
      <c r="BH48" s="445" t="s">
        <v>60</v>
      </c>
    </row>
    <row r="49" spans="5:61" ht="16.5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4"/>
      <c r="BG49" s="441"/>
      <c r="BH49" s="446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25" t="s">
        <v>81</v>
      </c>
      <c r="BF51" s="426"/>
      <c r="BG51" s="426"/>
      <c r="BH51" s="426"/>
      <c r="BI51" s="427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2" t="str">
        <f>IF(BD33="","",IF(BD33&gt;BD34,AV33,AV34))</f>
        <v/>
      </c>
      <c r="BH52" s="462"/>
      <c r="BI52" s="462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29" t="str">
        <f>IF(BD33=BD34,"",IF(BD33="","",IF(BD33&lt;BD34,AV33,AV34)))</f>
        <v/>
      </c>
      <c r="BH53" s="429"/>
      <c r="BI53" s="429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30" t="str">
        <f>IF(BD33=BD34,"",IF(BD41=BD42,AV41,IF(BD41&gt;BD42,AV41,AV42)))</f>
        <v/>
      </c>
      <c r="BH54" s="430"/>
      <c r="BI54" s="430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30" t="str">
        <f>IF(BD33=BD34,"",IF(BD41=BD42,AV42,IF(BD42&lt;BD41,AV42,AV41)))</f>
        <v/>
      </c>
      <c r="BH55" s="430"/>
      <c r="BI55" s="430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31" t="str">
        <f>IF(AI9="","",IF(AI9&lt;AI10,AA9,AA10))</f>
        <v/>
      </c>
      <c r="BH56" s="431"/>
      <c r="BI56" s="431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31" t="str">
        <f>IF(AI25="","",IF(AI25&lt;AI26,AA25,AA26))</f>
        <v/>
      </c>
      <c r="BH57" s="431"/>
      <c r="BI57" s="431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31" t="str">
        <f>IF(AI41="","",IF(AI41&lt;AI42,AA41,AA42))</f>
        <v/>
      </c>
      <c r="BH58" s="431"/>
      <c r="BI58" s="431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31" t="str">
        <f>IF(AI57="","",IF(AI57&lt;AI58,AA57,AA58))</f>
        <v/>
      </c>
      <c r="BH59" s="431"/>
      <c r="BI59" s="431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8" t="str">
        <f>IF(Y5="","",IF(Y5&lt;Y6,Q5,Q6))</f>
        <v/>
      </c>
      <c r="BH60" s="458"/>
      <c r="BI60" s="458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8" t="str">
        <f>IF(Y13="","",IF(Y13&lt;Y14,Q13,Q14))</f>
        <v/>
      </c>
      <c r="BH61" s="458"/>
      <c r="BI61" s="458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8" t="str">
        <f>IF(Y21="","",IF(Y21&lt;Y22,Q21,Q22))</f>
        <v/>
      </c>
      <c r="BH62" s="458"/>
      <c r="BI62" s="458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8" t="str">
        <f>IF(Y29="","",IF(Y29&lt;Y30,Q29,Q30))</f>
        <v/>
      </c>
      <c r="BH63" s="458"/>
      <c r="BI63" s="458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8" t="str">
        <f>IF(Y37="","",IF(Y37&lt;Y38,Q37,Q38))</f>
        <v/>
      </c>
      <c r="BH64" s="458"/>
      <c r="BI64" s="458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8" t="str">
        <f>IF(Y45="","",IF(Y45&lt;Y46,Q45,Q46))</f>
        <v/>
      </c>
      <c r="BH65" s="458"/>
      <c r="BI65" s="458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8" t="str">
        <f>IF(Y53="","",IF(Y53&lt;Y54,Q53,Q54))</f>
        <v/>
      </c>
      <c r="BH66" s="458"/>
      <c r="BI66" s="458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8" t="str">
        <f>IF(Y61="","",IF(Y61&lt;Y62,Q61,Q62))</f>
        <v/>
      </c>
      <c r="BH67" s="458"/>
      <c r="BI67" s="458"/>
    </row>
  </sheetData>
  <mergeCells count="32"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BO96"/>
  <sheetViews>
    <sheetView zoomScale="80" zoomScaleNormal="80" workbookViewId="0">
      <selection activeCell="D3" sqref="D3"/>
    </sheetView>
  </sheetViews>
  <sheetFormatPr defaultRowHeight="15"/>
  <cols>
    <col min="1" max="1" width="4.28515625" customWidth="1"/>
    <col min="2" max="2" width="8.5703125" customWidth="1"/>
    <col min="4" max="4" width="31.42578125" customWidth="1"/>
    <col min="5" max="5" width="8.85546875" style="2"/>
    <col min="6" max="6" width="8.85546875" style="58"/>
    <col min="7" max="7" width="31.425781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40625" style="11" customWidth="1"/>
    <col min="17" max="17" width="31.42578125" style="2" customWidth="1"/>
    <col min="18" max="25" width="3" style="2" customWidth="1"/>
    <col min="26" max="26" width="8.85546875" style="2"/>
    <col min="27" max="27" width="31.42578125" style="2" customWidth="1"/>
    <col min="28" max="35" width="3" style="2" customWidth="1"/>
    <col min="36" max="36" width="8.85546875" style="2"/>
    <col min="37" max="37" width="31.140625" style="2" customWidth="1"/>
    <col min="38" max="45" width="3.140625" style="2" customWidth="1"/>
    <col min="46" max="46" width="4.5703125" style="2" customWidth="1"/>
    <col min="47" max="47" width="4.5703125" customWidth="1"/>
    <col min="48" max="48" width="31.42578125" style="2" customWidth="1"/>
    <col min="49" max="56" width="3" style="2" customWidth="1"/>
    <col min="59" max="59" width="31.42578125" customWidth="1"/>
    <col min="60" max="67" width="3" customWidth="1"/>
  </cols>
  <sheetData>
    <row r="1" spans="2:59">
      <c r="C1" s="447" t="s">
        <v>61</v>
      </c>
      <c r="D1" s="435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.75" thickBot="1">
      <c r="B2" s="238" t="s">
        <v>125</v>
      </c>
      <c r="C2" s="238" t="s">
        <v>78</v>
      </c>
    </row>
    <row r="3" spans="2:59" ht="15.75">
      <c r="B3" s="47" t="s">
        <v>25</v>
      </c>
      <c r="C3" s="47">
        <v>1</v>
      </c>
      <c r="D3" s="23" t="str">
        <f>IF(' I'!$X$2="","",' I'!$X$2)</f>
        <v>Филип Младеновски (70)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5" thickBot="1">
      <c r="B4" s="49" t="s">
        <v>55</v>
      </c>
      <c r="C4" s="49">
        <v>2</v>
      </c>
      <c r="D4" s="24" t="str">
        <f>IF(' I'!$X$3="","",' I'!$X$3)</f>
        <v>Александар Нолевски (106)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75">
      <c r="B5" s="47" t="s">
        <v>27</v>
      </c>
      <c r="C5" s="47">
        <v>3</v>
      </c>
      <c r="D5" s="27" t="str">
        <f>IF(' II'!$X$2="","",' II'!$X$2)</f>
        <v>Алeксандар Марковиќ (3)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5" thickBot="1">
      <c r="B6" s="49" t="s">
        <v>54</v>
      </c>
      <c r="C6" s="49">
        <v>4</v>
      </c>
      <c r="D6" s="28" t="str">
        <f>IF(' II'!$X$3="","",' II'!$X$3)</f>
        <v>Лука Огненоски (15)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75">
      <c r="B7" s="47" t="s">
        <v>29</v>
      </c>
      <c r="C7" s="47">
        <v>5</v>
      </c>
      <c r="D7" s="23" t="str">
        <f>IF(' III'!$X$2="","",' III'!$X$2)</f>
        <v>Венко Стојанов (49)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5" thickBot="1">
      <c r="B8" s="49" t="s">
        <v>53</v>
      </c>
      <c r="C8" s="49">
        <v>6</v>
      </c>
      <c r="D8" s="24" t="str">
        <f>IF(' III'!$X$3="","",' III'!$X$3)</f>
        <v>Христијан Јовановски  (2)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75">
      <c r="B9" s="47" t="s">
        <v>30</v>
      </c>
      <c r="C9" s="47">
        <v>7</v>
      </c>
      <c r="D9" s="27" t="str">
        <f>IF(IV!$X$2="","",IV!$X$2)</f>
        <v>Лука Стојчев (73)</v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5" thickBot="1">
      <c r="B10" s="49" t="s">
        <v>52</v>
      </c>
      <c r="C10" s="49">
        <v>8</v>
      </c>
      <c r="D10" s="28" t="str">
        <f>IF(IV!$X$3="","",IV!$X$3)</f>
        <v>Зоран Димитријевски (74)</v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75">
      <c r="B11" s="47" t="s">
        <v>31</v>
      </c>
      <c r="C11" s="47">
        <v>9</v>
      </c>
      <c r="D11" s="23" t="str">
        <f>IF(V!$X$2="","",V!$X$2)</f>
        <v>Александар Јакимовски (178)</v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5" thickBot="1">
      <c r="B12" s="49" t="s">
        <v>51</v>
      </c>
      <c r="C12" s="49">
        <v>10</v>
      </c>
      <c r="D12" s="24" t="str">
        <f>IF(V!$X$3="","",V!$X$3)</f>
        <v>Славчо Спасеноски  (278)</v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75">
      <c r="B13" s="47" t="s">
        <v>32</v>
      </c>
      <c r="C13" s="47">
        <v>11</v>
      </c>
      <c r="D13" s="27" t="str">
        <f>IF(VI!$X$2="","",VI!$X$2)</f>
        <v>Сашо Љамов (127)</v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5" thickBot="1">
      <c r="B14" s="49" t="s">
        <v>50</v>
      </c>
      <c r="C14" s="49">
        <v>12</v>
      </c>
      <c r="D14" s="28" t="str">
        <f>IF(VI!$X$3="","",VI!$X$3)</f>
        <v>Марјан Крстев (52)</v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75">
      <c r="B15" s="47" t="s">
        <v>33</v>
      </c>
      <c r="C15" s="47">
        <v>13</v>
      </c>
      <c r="D15" s="23" t="str">
        <f>IF(VII!$X$2="","",VII!$X$2)</f>
        <v>Христијан Јованов (37)</v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5" thickBot="1">
      <c r="B16" s="206" t="s">
        <v>49</v>
      </c>
      <c r="C16" s="206">
        <v>14</v>
      </c>
      <c r="D16" s="26" t="str">
        <f>IF(VII!$X$3="","",VII!$X$3)</f>
        <v>Слободан Грковски (54)</v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75">
      <c r="B17" s="47" t="s">
        <v>34</v>
      </c>
      <c r="C17" s="47">
        <v>15</v>
      </c>
      <c r="D17" s="27" t="str">
        <f>IF(VIII!$X$2="","",VIII!$X$2)</f>
        <v>Даниел Главевски Зхоу  (108)</v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5" thickBot="1">
      <c r="B18" s="206" t="s">
        <v>57</v>
      </c>
      <c r="C18" s="206">
        <v>16</v>
      </c>
      <c r="D18" s="29" t="str">
        <f>IF(VIII!$X$3="","",VIII!$X$3)</f>
        <v>Мартин Калески (122)</v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75">
      <c r="B19" s="47" t="s">
        <v>35</v>
      </c>
      <c r="C19" s="47">
        <v>17</v>
      </c>
      <c r="D19" s="23" t="str">
        <f>IF(IX!$X$2="","",IX!$X$2)</f>
        <v>Андреј Стојановски (47)</v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5" thickBot="1">
      <c r="B20" s="206" t="s">
        <v>48</v>
      </c>
      <c r="C20" s="206">
        <v>18</v>
      </c>
      <c r="D20" s="26" t="str">
        <f>IF(IX!$X$3="","",IX!$X$3)</f>
        <v>Бобан Лашкоски (17)</v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75">
      <c r="B21" s="47" t="s">
        <v>36</v>
      </c>
      <c r="C21" s="47">
        <v>19</v>
      </c>
      <c r="D21" s="27" t="str">
        <f>IF(X!$X$2="","",X!$X$2)</f>
        <v>Ѓорѓе Бораниев (365)</v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5" thickBot="1">
      <c r="B22" s="206" t="s">
        <v>47</v>
      </c>
      <c r="C22" s="206">
        <v>20</v>
      </c>
      <c r="D22" s="28" t="str">
        <f>IF(X!$X$3="","",X!$X$3)</f>
        <v>Нико Доага (190)</v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75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5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75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5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75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5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75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5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75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5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75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5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75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5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75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5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75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5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75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5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75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5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75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5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75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5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75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5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75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75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75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75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75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75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75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75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75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75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75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75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75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75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75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75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5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75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75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75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75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75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75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75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75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75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2"/>
  <sheetViews>
    <sheetView topLeftCell="A637" workbookViewId="0">
      <selection activeCell="C652" sqref="C652"/>
    </sheetView>
  </sheetViews>
  <sheetFormatPr defaultRowHeight="15"/>
  <cols>
    <col min="2" max="3" width="24.14062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797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.7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797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797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75">
      <c r="A160" s="75">
        <v>161</v>
      </c>
      <c r="B160" s="342" t="s">
        <v>294</v>
      </c>
      <c r="C160" s="75" t="s">
        <v>291</v>
      </c>
    </row>
    <row r="161" spans="1:3" ht="15.7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.7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.7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797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.7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797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5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.7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797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.7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.7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.7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.7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.7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30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797</v>
      </c>
    </row>
    <row r="503" spans="1:3">
      <c r="A503" s="75">
        <v>510</v>
      </c>
      <c r="B503" s="227" t="s">
        <v>689</v>
      </c>
      <c r="C503" s="75" t="s">
        <v>797</v>
      </c>
    </row>
    <row r="504" spans="1:3">
      <c r="A504" s="75">
        <v>511</v>
      </c>
      <c r="B504" s="227" t="s">
        <v>690</v>
      </c>
      <c r="C504" s="75" t="s">
        <v>797</v>
      </c>
    </row>
    <row r="505" spans="1:3">
      <c r="A505" s="75">
        <v>512</v>
      </c>
      <c r="B505" s="227" t="s">
        <v>691</v>
      </c>
      <c r="C505" s="75" t="s">
        <v>797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798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799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800</v>
      </c>
      <c r="C607" s="230" t="s">
        <v>631</v>
      </c>
    </row>
    <row r="608" spans="1:6">
      <c r="A608" s="230">
        <v>615</v>
      </c>
      <c r="B608" s="231" t="s">
        <v>801</v>
      </c>
      <c r="C608" s="230" t="s">
        <v>631</v>
      </c>
    </row>
    <row r="609" spans="1:3">
      <c r="A609" s="230">
        <v>616</v>
      </c>
      <c r="B609" s="231" t="s">
        <v>802</v>
      </c>
      <c r="C609" s="230" t="s">
        <v>631</v>
      </c>
    </row>
    <row r="610" spans="1:3">
      <c r="A610" s="230">
        <v>617</v>
      </c>
      <c r="B610" s="231" t="s">
        <v>803</v>
      </c>
      <c r="C610" s="230" t="s">
        <v>321</v>
      </c>
    </row>
    <row r="611" spans="1:3">
      <c r="A611" s="230">
        <v>618</v>
      </c>
      <c r="B611" s="231" t="s">
        <v>804</v>
      </c>
      <c r="C611" s="230" t="s">
        <v>321</v>
      </c>
    </row>
    <row r="612" spans="1:3">
      <c r="A612" s="75">
        <v>619</v>
      </c>
      <c r="B612" s="231" t="s">
        <v>805</v>
      </c>
      <c r="C612" s="75" t="s">
        <v>136</v>
      </c>
    </row>
    <row r="613" spans="1:3">
      <c r="A613" s="230">
        <v>620</v>
      </c>
      <c r="B613" s="231" t="s">
        <v>806</v>
      </c>
      <c r="C613" s="75" t="s">
        <v>797</v>
      </c>
    </row>
    <row r="614" spans="1:3">
      <c r="A614" s="75">
        <v>621</v>
      </c>
      <c r="B614" s="231" t="s">
        <v>807</v>
      </c>
      <c r="C614" s="75" t="s">
        <v>797</v>
      </c>
    </row>
    <row r="615" spans="1:3">
      <c r="A615" s="230">
        <v>622</v>
      </c>
      <c r="B615" s="231" t="s">
        <v>808</v>
      </c>
      <c r="C615" s="75" t="s">
        <v>797</v>
      </c>
    </row>
    <row r="616" spans="1:3">
      <c r="A616" s="75">
        <v>623</v>
      </c>
      <c r="B616" s="231" t="s">
        <v>809</v>
      </c>
      <c r="C616" s="75" t="s">
        <v>797</v>
      </c>
    </row>
    <row r="617" spans="1:3">
      <c r="A617" s="230">
        <v>624</v>
      </c>
      <c r="B617" s="231" t="s">
        <v>810</v>
      </c>
      <c r="C617" s="75" t="s">
        <v>797</v>
      </c>
    </row>
    <row r="618" spans="1:3">
      <c r="A618" s="230">
        <v>625</v>
      </c>
      <c r="B618" s="231" t="s">
        <v>811</v>
      </c>
      <c r="C618" s="75" t="s">
        <v>331</v>
      </c>
    </row>
    <row r="619" spans="1:3">
      <c r="A619" s="230">
        <v>626</v>
      </c>
      <c r="B619" s="231" t="s">
        <v>812</v>
      </c>
      <c r="C619" s="75" t="s">
        <v>136</v>
      </c>
    </row>
    <row r="620" spans="1:3">
      <c r="A620" s="230">
        <v>627</v>
      </c>
      <c r="B620" s="231" t="s">
        <v>813</v>
      </c>
      <c r="C620" s="75" t="s">
        <v>205</v>
      </c>
    </row>
    <row r="621" spans="1:3">
      <c r="A621" s="230">
        <v>628</v>
      </c>
      <c r="B621" s="231" t="s">
        <v>814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815</v>
      </c>
      <c r="C623" s="75" t="s">
        <v>631</v>
      </c>
    </row>
    <row r="624" spans="1:3">
      <c r="A624" s="230">
        <v>631</v>
      </c>
      <c r="B624" s="231" t="s">
        <v>816</v>
      </c>
      <c r="C624" s="75" t="s">
        <v>631</v>
      </c>
    </row>
    <row r="625" spans="1:3">
      <c r="A625" s="230">
        <v>632</v>
      </c>
      <c r="B625" s="231" t="s">
        <v>817</v>
      </c>
      <c r="C625" s="75" t="s">
        <v>797</v>
      </c>
    </row>
    <row r="626" spans="1:3">
      <c r="A626" s="230">
        <v>633</v>
      </c>
      <c r="B626" s="231" t="s">
        <v>818</v>
      </c>
      <c r="C626" s="75" t="s">
        <v>631</v>
      </c>
    </row>
    <row r="627" spans="1:3">
      <c r="A627" s="75">
        <v>634</v>
      </c>
      <c r="B627" s="231" t="s">
        <v>819</v>
      </c>
      <c r="C627" s="230" t="s">
        <v>536</v>
      </c>
    </row>
    <row r="628" spans="1:3">
      <c r="A628" s="75">
        <v>635</v>
      </c>
      <c r="B628" s="231" t="s">
        <v>820</v>
      </c>
      <c r="C628" s="230" t="s">
        <v>136</v>
      </c>
    </row>
    <row r="629" spans="1:3">
      <c r="A629" s="230">
        <v>636</v>
      </c>
      <c r="B629" s="231" t="s">
        <v>821</v>
      </c>
      <c r="C629" s="230" t="s">
        <v>341</v>
      </c>
    </row>
    <row r="630" spans="1:3">
      <c r="A630" s="230">
        <v>637</v>
      </c>
      <c r="B630" s="231" t="s">
        <v>822</v>
      </c>
      <c r="C630" s="230" t="s">
        <v>823</v>
      </c>
    </row>
    <row r="631" spans="1:3">
      <c r="A631" s="230">
        <v>638</v>
      </c>
      <c r="B631" s="231" t="s">
        <v>824</v>
      </c>
      <c r="C631" s="230" t="s">
        <v>341</v>
      </c>
    </row>
    <row r="632" spans="1:3">
      <c r="A632" s="230">
        <v>639</v>
      </c>
      <c r="B632" s="231" t="s">
        <v>825</v>
      </c>
      <c r="C632" s="230" t="s">
        <v>341</v>
      </c>
    </row>
    <row r="633" spans="1:3">
      <c r="A633" s="230">
        <v>640</v>
      </c>
      <c r="B633" s="227" t="s">
        <v>826</v>
      </c>
      <c r="C633" s="230" t="s">
        <v>341</v>
      </c>
    </row>
    <row r="634" spans="1:3">
      <c r="A634" s="230">
        <v>641</v>
      </c>
      <c r="B634" s="231" t="s">
        <v>827</v>
      </c>
      <c r="C634" s="230" t="s">
        <v>312</v>
      </c>
    </row>
    <row r="635" spans="1:3">
      <c r="A635" s="75">
        <v>642</v>
      </c>
      <c r="B635" s="231" t="s">
        <v>828</v>
      </c>
      <c r="C635" s="230" t="s">
        <v>261</v>
      </c>
    </row>
    <row r="636" spans="1:3">
      <c r="A636" s="230">
        <v>643</v>
      </c>
      <c r="B636" s="231" t="s">
        <v>829</v>
      </c>
      <c r="C636" s="230" t="s">
        <v>196</v>
      </c>
    </row>
    <row r="637" spans="1:3">
      <c r="A637" s="230">
        <v>644</v>
      </c>
      <c r="B637" s="227" t="s">
        <v>830</v>
      </c>
      <c r="C637" s="75" t="s">
        <v>205</v>
      </c>
    </row>
    <row r="638" spans="1:3">
      <c r="A638" s="230">
        <v>645</v>
      </c>
      <c r="B638" s="227" t="s">
        <v>831</v>
      </c>
      <c r="C638" s="230" t="s">
        <v>261</v>
      </c>
    </row>
    <row r="639" spans="1:3">
      <c r="A639" s="230">
        <v>646</v>
      </c>
      <c r="B639" s="227" t="s">
        <v>832</v>
      </c>
      <c r="C639" s="75" t="s">
        <v>306</v>
      </c>
    </row>
    <row r="640" spans="1:3">
      <c r="A640" s="230">
        <v>647</v>
      </c>
      <c r="B640" s="231" t="s">
        <v>833</v>
      </c>
      <c r="C640" s="230" t="s">
        <v>261</v>
      </c>
    </row>
    <row r="641" spans="1:3">
      <c r="A641" s="75">
        <v>648</v>
      </c>
      <c r="B641" s="231" t="s">
        <v>834</v>
      </c>
      <c r="C641" s="75" t="s">
        <v>205</v>
      </c>
    </row>
    <row r="642" spans="1:3">
      <c r="A642" s="75">
        <v>649</v>
      </c>
      <c r="B642" s="231" t="s">
        <v>835</v>
      </c>
      <c r="C642" s="75" t="s">
        <v>205</v>
      </c>
    </row>
    <row r="643" spans="1:3">
      <c r="A643" s="230">
        <v>650</v>
      </c>
      <c r="B643" s="231" t="s">
        <v>836</v>
      </c>
      <c r="C643" s="75" t="s">
        <v>205</v>
      </c>
    </row>
    <row r="644" spans="1:3">
      <c r="A644" s="75">
        <v>651</v>
      </c>
      <c r="B644" s="227" t="s">
        <v>837</v>
      </c>
      <c r="C644" s="75" t="s">
        <v>398</v>
      </c>
    </row>
    <row r="645" spans="1:3">
      <c r="A645" s="75">
        <v>652</v>
      </c>
      <c r="B645" s="227" t="s">
        <v>838</v>
      </c>
      <c r="C645" s="75" t="s">
        <v>398</v>
      </c>
    </row>
    <row r="646" spans="1:3">
      <c r="A646" s="230">
        <v>653</v>
      </c>
      <c r="B646" s="227" t="s">
        <v>839</v>
      </c>
      <c r="C646" s="75" t="s">
        <v>398</v>
      </c>
    </row>
    <row r="647" spans="1:3">
      <c r="A647" s="75">
        <v>654</v>
      </c>
      <c r="B647" s="227" t="s">
        <v>840</v>
      </c>
      <c r="C647" s="75" t="s">
        <v>398</v>
      </c>
    </row>
    <row r="648" spans="1:3">
      <c r="A648" s="75">
        <v>655</v>
      </c>
      <c r="B648" s="227" t="s">
        <v>841</v>
      </c>
      <c r="C648" s="75" t="s">
        <v>398</v>
      </c>
    </row>
    <row r="649" spans="1:3">
      <c r="A649" s="230">
        <v>656</v>
      </c>
      <c r="B649" s="227" t="s">
        <v>842</v>
      </c>
      <c r="C649" s="75" t="s">
        <v>536</v>
      </c>
    </row>
    <row r="650" spans="1:3">
      <c r="A650" s="75">
        <v>657</v>
      </c>
      <c r="B650" s="227" t="s">
        <v>843</v>
      </c>
      <c r="C650" s="75" t="s">
        <v>536</v>
      </c>
    </row>
    <row r="651" spans="1:3">
      <c r="A651" s="75">
        <v>658</v>
      </c>
      <c r="B651" s="227" t="s">
        <v>844</v>
      </c>
      <c r="C651" s="230" t="s">
        <v>225</v>
      </c>
    </row>
    <row r="652" spans="1:3">
      <c r="A652" s="230">
        <v>659</v>
      </c>
      <c r="B652" s="227" t="s">
        <v>845</v>
      </c>
      <c r="C652" s="230" t="s">
        <v>341</v>
      </c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AU21"/>
  <sheetViews>
    <sheetView workbookViewId="0">
      <selection activeCell="Z23" sqref="Z2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43" width="0" style="9" hidden="1" customWidth="1"/>
    <col min="44" max="16384" width="9.140625" style="9"/>
  </cols>
  <sheetData>
    <row r="1" spans="2:47" s="6" customFormat="1" ht="21.75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/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Филип Младеновски (70)</v>
      </c>
      <c r="D3" s="378"/>
      <c r="E3" s="379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0" t="str">
        <f>IF(ISERROR(IF(AND(T9="",T13="",T17=""),"",SUM(AB3:AD3)+(N3-O3)/1000)+(AK3/10000)),"",IF(AND(T9="",T13="",T17=""),"",SUM(AB3:AD3)+(N3-O3)/1000)+(AK3/10000)+(AG3/100000))</f>
        <v/>
      </c>
      <c r="S3" s="380"/>
      <c r="T3" s="112" t="str">
        <f>IF(ISERROR(IF(C3="","",RANK(R3,$R$3:$S$6,0))),"",IF(C3="","",RANK(R3,$R$3:$S$6,0)))</f>
        <v/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/>
      </c>
      <c r="Y3" s="385"/>
      <c r="Z3" s="386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75">
        <f>SUM(AH3:AJ3)-SUM(AM3:AO3)</f>
        <v>0</v>
      </c>
      <c r="AL3" s="376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7" t="str">
        <f>IF(GROUPS!D5="","",GROUPS!D5)</f>
        <v>Мирослав Симиќ (55)</v>
      </c>
      <c r="D4" s="378"/>
      <c r="E4" s="379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0" t="str">
        <f>IF(ISERROR(IF(AND(T10="",U13="",U18=""),"",SUM(AB4:AD4)+(N4-O4)/1000)+(AK4/10000)+(AG4/100000)),"",IF(AND(T10="",U13="",U18=""),"",SUM(AB4:AD4)+(N4-O4)/1000)+(AK4/10000)+(AG4/100000))</f>
        <v/>
      </c>
      <c r="S4" s="380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1" t="str">
        <f t="shared" si="0"/>
        <v/>
      </c>
      <c r="Y4" s="382"/>
      <c r="Z4" s="383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75">
        <f t="shared" ref="AK4:AK6" si="2">SUM(AH4:AJ4)-SUM(AM4:AO4)</f>
        <v>0</v>
      </c>
      <c r="AL4" s="376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7" t="str">
        <f>IF(GROUPS!D6="","",GROUPS!D6)</f>
        <v>Александар Нолевски (106)</v>
      </c>
      <c r="D5" s="378"/>
      <c r="E5" s="379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71" t="str">
        <f>IF(GROUPS!D7="","",GROUPS!D7)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0</v>
      </c>
      <c r="Q7" s="127">
        <f>SUM(Q3:Q6)</f>
        <v>0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 ht="19.5" thickBot="1">
      <c r="B9" s="183">
        <v>1</v>
      </c>
      <c r="C9" s="184" t="str">
        <f>IF(C3="","",VLOOKUP(B9,$B$3:$E$6,2,FALSE))</f>
        <v>Филип Младеновски (70)</v>
      </c>
      <c r="D9" s="185">
        <v>3</v>
      </c>
      <c r="E9" s="181" t="str">
        <f>IF(C6="","",VLOOKUP(D9,$B$3:$E$6,2,FALSE))</f>
        <v/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hidden="1" thickBot="1">
      <c r="B10" s="183">
        <v>2</v>
      </c>
      <c r="C10" s="184" t="str">
        <f>IF(C4="","",VLOOKUP(B10,$B$3:$E$6,2,FALSE))</f>
        <v>Мирослав Симиќ (55)</v>
      </c>
      <c r="D10" s="185">
        <v>4</v>
      </c>
      <c r="E10" s="181" t="str">
        <f>IF(C5="","",VLOOKUP(D10,$B$3:$E$6,2,FALSE))</f>
        <v/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 ht="19.5" thickBot="1">
      <c r="B13" s="183">
        <v>1</v>
      </c>
      <c r="C13" s="196" t="str">
        <f>IF(C6="","",VLOOKUP(B13,$B$3:$E$6,2,FALSE))</f>
        <v/>
      </c>
      <c r="D13" s="185">
        <v>2</v>
      </c>
      <c r="E13" s="181" t="str">
        <f>IF(C5="","",VLOOKUP(D13,$B$3:$E$6,2,FALSE))</f>
        <v>Мирослав Симиќ (55)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hidden="1" thickBot="1">
      <c r="B14" s="183">
        <v>3</v>
      </c>
      <c r="C14" s="196" t="str">
        <f>IF(C3="","",VLOOKUP(B14,$B$3:$E$6,2,FALSE))</f>
        <v>Александар Нолевски (106)</v>
      </c>
      <c r="D14" s="185">
        <v>4</v>
      </c>
      <c r="E14" s="181" t="str">
        <f>IF(C4="","",VLOOKUP(D14,$B$3:$E$6,2,FALSE))</f>
        <v/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 hidden="1">
      <c r="B17" s="128">
        <v>1</v>
      </c>
      <c r="C17" s="129" t="str">
        <f>IF(C5="","",VLOOKUP(B17,$B$3:$E$6,2,FALSE))</f>
        <v>Филип Младеновски (70)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IF(C3="","",VLOOKUP(B18,$B$3:$E$6,2,FALSE))</f>
        <v>Александар Нолевски (106)</v>
      </c>
      <c r="D18" s="140">
        <v>2</v>
      </c>
      <c r="E18" s="141" t="str">
        <f>IF(C5="","",VLOOKUP(D18,$B$3:$E$6,2,FALSE))</f>
        <v>Мирослав Симиќ (55)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AU21"/>
  <sheetViews>
    <sheetView workbookViewId="0">
      <selection activeCell="K13" sqref="K13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9" t="s">
        <v>0</v>
      </c>
      <c r="C1" s="389"/>
      <c r="D1" s="38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406" t="str">
        <f>IF(ISERROR(INDEX($C$3:$C$6,MATCH(W2,$T$3:$T$6,0))),"",(INDEX($C$3:$C$6,MATCH(W2,$T$3:$T$6,0))))</f>
        <v>Филип Младеновски (70)</v>
      </c>
      <c r="Y2" s="407"/>
      <c r="Z2" s="408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IF(GROUPS!D4="","",GROUPS!D4)</f>
        <v>Филип Младеновски (70)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19</v>
      </c>
      <c r="R3" s="380">
        <f>IF(ISERROR(IF(AND(T9="",T13="",T17=""),"",SUM(AB3:AD3)+(N3-O3)/1000)+(AK3/10000)),"",IF(AND(T9="",T13="",T17=""),"",SUM(AB3:AD3)+(N3-O3)/1000)+(AK3/10000)+(AG3/100000))</f>
        <v>4.0113599999999998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406" t="str">
        <f t="shared" ref="X3:X5" si="0">IF(ISERROR(INDEX($C$3:$C$6,MATCH(W3,$T$3:$T$6,0))),"",(INDEX($C$3:$C$6,MATCH(W3,$T$3:$T$6,0))))</f>
        <v>Александар Нолевски (106)</v>
      </c>
      <c r="Y3" s="407"/>
      <c r="Z3" s="408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5">
        <f>SUM(AH3:AJ3)-SUM(AM3:AO3)</f>
        <v>47</v>
      </c>
      <c r="AL3" s="376"/>
      <c r="AM3" s="10">
        <f>AH5</f>
        <v>12</v>
      </c>
      <c r="AN3" s="10">
        <f>AI4</f>
        <v>7</v>
      </c>
      <c r="AO3" s="10">
        <f>AJ6</f>
        <v>0</v>
      </c>
      <c r="AP3" s="9">
        <f>SUM(AM3:AO3)</f>
        <v>19</v>
      </c>
    </row>
    <row r="4" spans="2:47" ht="24" customHeight="1">
      <c r="B4" s="101">
        <v>2</v>
      </c>
      <c r="C4" s="377" t="str">
        <f>IF(GROUPS!D5="","",GROUPS!D5)</f>
        <v>Мирослав Симиќ (55)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3</v>
      </c>
      <c r="P4" s="110">
        <f>IF(AND(T10="",U13="",U18=""),"",AG4)</f>
        <v>7</v>
      </c>
      <c r="Q4" s="111">
        <f>IF(AND(T10="",U13="",U18=""),"",AP4)</f>
        <v>33</v>
      </c>
      <c r="R4" s="380">
        <f>IF(ISERROR(IF(AND(T10="",U13="",U18=""),"",SUM(AB4:AD4)+(N4-O4)/1000)+(AK4/10000)+(AG4/100000)),"",IF(AND(T10="",U13="",U18=""),"",SUM(AB4:AD4)+(N4-O4)/1000)+(AK4/10000)+(AG4/100000))</f>
        <v>0.99446999999999997</v>
      </c>
      <c r="S4" s="380"/>
      <c r="T4" s="112">
        <f>IF(ISERROR(IF(C4="","",RANK(R4,$R$3:$S$6,0))),"",IF(C4="","",RANK(R4,$R$3:$S$6,0)))</f>
        <v>3</v>
      </c>
      <c r="U4" s="9"/>
      <c r="V4" s="9"/>
      <c r="W4" s="7">
        <v>3</v>
      </c>
      <c r="X4" s="403" t="str">
        <f t="shared" si="0"/>
        <v>Мирослав Симиќ (55)</v>
      </c>
      <c r="Y4" s="404"/>
      <c r="Z4" s="405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7</v>
      </c>
      <c r="AH4" s="10">
        <f>F10+H10+J10+L10+N10+P10+R10</f>
        <v>0</v>
      </c>
      <c r="AI4" s="10">
        <f>G13+I13+K13+M13+O13+Q13+S13</f>
        <v>7</v>
      </c>
      <c r="AJ4" s="10">
        <f>G18+I18+K18+M18+O18+Q18+S18</f>
        <v>0</v>
      </c>
      <c r="AK4" s="375">
        <f t="shared" ref="AK4:AK6" si="2">SUM(AH4:AJ4)-SUM(AM4:AO4)</f>
        <v>-26</v>
      </c>
      <c r="AL4" s="376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101">
        <v>3</v>
      </c>
      <c r="C5" s="377" t="str">
        <f>IF(GROUPS!D6="","",GROUPS!D6)</f>
        <v>Александар Нолевски (106)</v>
      </c>
      <c r="D5" s="378"/>
      <c r="E5" s="379"/>
      <c r="F5" s="113">
        <f>U9</f>
        <v>0</v>
      </c>
      <c r="G5" s="106">
        <f>T9</f>
        <v>3</v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0</v>
      </c>
      <c r="O5" s="109">
        <f>IF(AND(U9="",T14="",T18=""),"",SUM(G5,I5,M5))</f>
        <v>3</v>
      </c>
      <c r="P5" s="110">
        <f>IF(AND(U9="",T14="",T18=""),"",AG5)</f>
        <v>12</v>
      </c>
      <c r="Q5" s="111">
        <f>IF(AND(U9="",T14="",T18=""),"",AP5)</f>
        <v>33</v>
      </c>
      <c r="R5" s="380">
        <f>IF(ISERROR(IF(AND(U9="",T14="",T18=""),"",SUM(AB5:AD5)+(N5-O5)/1000)+(AK5/10000)+(AG5/100000)),"",IF(AND(U9="",T14="",T18=""),"",SUM(AB5:AD5)+(N5-O5)/1000)+(AK5/10000)+(AG5/100000))</f>
        <v>0.99502000000000002</v>
      </c>
      <c r="S5" s="380"/>
      <c r="T5" s="112">
        <f>IF(ISERROR(IF(C5="","",RANK(R5,$R$3:$S$6,0))),"",IF(C5="","",RANK(R5,$R$3:$S$6,0)))</f>
        <v>2</v>
      </c>
      <c r="U5" s="9"/>
      <c r="V5" s="9"/>
      <c r="W5" s="7">
        <v>4</v>
      </c>
      <c r="X5" s="403" t="str">
        <f t="shared" si="0"/>
        <v/>
      </c>
      <c r="Y5" s="404"/>
      <c r="Z5" s="405"/>
      <c r="AB5" s="10">
        <f t="shared" ref="AB5:AB6" si="4">IF(F5="","",IF(F5&gt;G5,2,1))</f>
        <v>1</v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12</v>
      </c>
      <c r="AH5" s="10">
        <f>G9+I9+K9+M9+O9+Q9+S9</f>
        <v>12</v>
      </c>
      <c r="AI5" s="10">
        <f>F14+H14+J14+L14+N14+P14+R14</f>
        <v>0</v>
      </c>
      <c r="AJ5" s="10">
        <f>F18+H18+J18+L18+N18+P18+R18</f>
        <v>0</v>
      </c>
      <c r="AK5" s="375">
        <f t="shared" si="2"/>
        <v>-21</v>
      </c>
      <c r="AL5" s="376"/>
      <c r="AM5" s="10">
        <f>AH3</f>
        <v>33</v>
      </c>
      <c r="AN5" s="10">
        <f>AI6</f>
        <v>0</v>
      </c>
      <c r="AO5" s="10">
        <f>AJ4</f>
        <v>0</v>
      </c>
      <c r="AP5" s="9">
        <f t="shared" si="3"/>
        <v>33</v>
      </c>
    </row>
    <row r="6" spans="2:47" ht="24" customHeight="1" thickBot="1">
      <c r="B6" s="116">
        <v>4</v>
      </c>
      <c r="C6" s="371" t="str">
        <f>IF(GROUPS!D7="","",GROUPS!D7)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85</v>
      </c>
      <c r="Q7" s="127">
        <f>SUM(Q3:Q6)</f>
        <v>85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Филип Младеновски (70)</v>
      </c>
      <c r="D9" s="130">
        <v>3</v>
      </c>
      <c r="E9" s="131" t="str">
        <f>IF(C5="","",VLOOKUP(D9,$B$3:$E$6,2,FALSE))</f>
        <v>Александар Нолевски (106)</v>
      </c>
      <c r="F9" s="132">
        <v>11</v>
      </c>
      <c r="G9" s="133">
        <v>4</v>
      </c>
      <c r="H9" s="134">
        <v>11</v>
      </c>
      <c r="I9" s="133">
        <v>3</v>
      </c>
      <c r="J9" s="132">
        <v>11</v>
      </c>
      <c r="K9" s="135">
        <v>5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Мирослав Симиќ (55)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Филип Младеновски (70)</v>
      </c>
      <c r="D13" s="130">
        <v>2</v>
      </c>
      <c r="E13" s="131" t="str">
        <f>IF(C4="","",VLOOKUP(D13,$B$3:$E$6,2,FALSE))</f>
        <v>Мирослав Симиќ (55)</v>
      </c>
      <c r="F13" s="132">
        <v>11</v>
      </c>
      <c r="G13" s="133">
        <v>1</v>
      </c>
      <c r="H13" s="134">
        <v>11</v>
      </c>
      <c r="I13" s="133">
        <v>2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Александар Нолевски (106)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Филип Младеновски (70)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Александар Нолевски (106)</v>
      </c>
      <c r="D18" s="140">
        <v>2</v>
      </c>
      <c r="E18" s="141" t="str">
        <f>IF(C4="","",VLOOKUP(D18,$B$3:$E$6,2,FALSE))</f>
        <v>Мирослав Симиќ (55)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U21"/>
  <sheetViews>
    <sheetView workbookViewId="0">
      <selection activeCell="AU8" sqref="AU8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9" t="s">
        <v>0</v>
      </c>
      <c r="C1" s="389"/>
      <c r="D1" s="38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Алeксандар Марковиќ (3)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IF(GROUPS!F4="","",GROUPS!F4)</f>
        <v>Алeксандар Марковиќ (3)</v>
      </c>
      <c r="D3" s="378"/>
      <c r="E3" s="379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66</v>
      </c>
      <c r="Q3" s="111">
        <f>IF(AND(T9="",T13="",T17=""),"",AP3)</f>
        <v>32</v>
      </c>
      <c r="R3" s="380">
        <f>IF(ISERROR(IF(AND(T9="",T13="",T17=""),"",SUM(AB3:AD3)+(N3-O3)/1000)+(AK3/10000)),"",IF(AND(T9="",T13="",T17=""),"",SUM(AB3:AD3)+(N3-O3)/1000)+(AK3/10000)+(AG3/100000))</f>
        <v>4.0100600000000002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Лука Огненоски (15)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66</v>
      </c>
      <c r="AH3" s="10">
        <f>F9+H9+J9+L9+N9+P9+R9</f>
        <v>33</v>
      </c>
      <c r="AI3" s="10">
        <f>F13+H13+J13+L13+N13+P13+R13</f>
        <v>33</v>
      </c>
      <c r="AJ3" s="10">
        <f>F17+H17+J17+L17+N17+P17+R17</f>
        <v>0</v>
      </c>
      <c r="AK3" s="375">
        <f>SUM(AH3:AJ3)-SUM(AM3:AO3)</f>
        <v>34</v>
      </c>
      <c r="AL3" s="376"/>
      <c r="AM3" s="10">
        <f>AH5</f>
        <v>13</v>
      </c>
      <c r="AN3" s="10">
        <f>AI4</f>
        <v>19</v>
      </c>
      <c r="AO3" s="10">
        <f>AJ6</f>
        <v>0</v>
      </c>
      <c r="AP3" s="9">
        <f>SUM(AM3:AO3)</f>
        <v>32</v>
      </c>
    </row>
    <row r="4" spans="2:47" ht="24" customHeight="1">
      <c r="B4" s="101">
        <v>2</v>
      </c>
      <c r="C4" s="377" t="str">
        <f>IF(GROUPS!F5="","",GROUPS!F5)</f>
        <v>Дарко Китановски (499)</v>
      </c>
      <c r="D4" s="378"/>
      <c r="E4" s="379"/>
      <c r="F4" s="113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6</v>
      </c>
      <c r="P4" s="110">
        <f>IF(AND(T10="",U13="",U18=""),"",AG4)</f>
        <v>39</v>
      </c>
      <c r="Q4" s="111">
        <f>IF(AND(T10="",U13="",U18=""),"",AP4)</f>
        <v>66</v>
      </c>
      <c r="R4" s="380">
        <f>IF(ISERROR(IF(AND(T10="",U13="",U18=""),"",SUM(AB4:AD4)+(N4-O4)/1000)+(AK4/10000)+(AG4/100000)),"",IF(AND(T10="",U13="",U18=""),"",SUM(AB4:AD4)+(N4-O4)/1000)+(AK4/10000)+(AG4/100000))</f>
        <v>1.99169</v>
      </c>
      <c r="S4" s="380"/>
      <c r="T4" s="112">
        <f>IF(ISERROR(IF(C4="","",RANK(R4,$R$3:$S$6,0))),"",IF(C4="","",RANK(R4,$R$3:$S$6,0)))</f>
        <v>3</v>
      </c>
      <c r="U4" s="9"/>
      <c r="V4" s="9"/>
      <c r="W4" s="7">
        <v>3</v>
      </c>
      <c r="X4" s="381" t="str">
        <f t="shared" si="0"/>
        <v>Дарко Китановски (499)</v>
      </c>
      <c r="Y4" s="382"/>
      <c r="Z4" s="383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39</v>
      </c>
      <c r="AH4" s="10">
        <f>F10+H10+J10+L10+N10+P10+R10</f>
        <v>0</v>
      </c>
      <c r="AI4" s="10">
        <f>G13+I13+K13+M13+O13+Q13+S13</f>
        <v>19</v>
      </c>
      <c r="AJ4" s="10">
        <f>G18+I18+K18+M18+O18+Q18+S18</f>
        <v>20</v>
      </c>
      <c r="AK4" s="375">
        <f t="shared" ref="AK4:AK6" si="2">SUM(AH4:AJ4)-SUM(AM4:AO4)</f>
        <v>-27</v>
      </c>
      <c r="AL4" s="376"/>
      <c r="AM4" s="10">
        <f>AH6</f>
        <v>0</v>
      </c>
      <c r="AN4" s="10">
        <f>AI3</f>
        <v>33</v>
      </c>
      <c r="AO4" s="10">
        <f>AJ5</f>
        <v>33</v>
      </c>
      <c r="AP4" s="9">
        <f t="shared" ref="AP4:AP6" si="3">SUM(AM4:AO4)</f>
        <v>66</v>
      </c>
    </row>
    <row r="5" spans="2:47" ht="24" customHeight="1">
      <c r="B5" s="101">
        <v>3</v>
      </c>
      <c r="C5" s="377" t="str">
        <f>IF(GROUPS!F6="","",GROUPS!F6)</f>
        <v>Лука Огненоски (15)</v>
      </c>
      <c r="D5" s="378"/>
      <c r="E5" s="379"/>
      <c r="F5" s="113">
        <f>U9</f>
        <v>0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3</v>
      </c>
      <c r="O5" s="109">
        <f>IF(AND(U9="",T14="",T18=""),"",SUM(G5,I5,M5))</f>
        <v>3</v>
      </c>
      <c r="P5" s="110">
        <f>IF(AND(U9="",T14="",T18=""),"",AG5)</f>
        <v>46</v>
      </c>
      <c r="Q5" s="111">
        <f>IF(AND(U9="",T14="",T18=""),"",AP5)</f>
        <v>53</v>
      </c>
      <c r="R5" s="380">
        <f>IF(ISERROR(IF(AND(U9="",T14="",T18=""),"",SUM(AB5:AD5)+(N5-O5)/1000)+(AK5/10000)+(AG5/100000)),"",IF(AND(U9="",T14="",T18=""),"",SUM(AB5:AD5)+(N5-O5)/1000)+(AK5/10000)+(AG5/100000))</f>
        <v>2.9997599999999998</v>
      </c>
      <c r="S5" s="380"/>
      <c r="T5" s="112">
        <f>IF(ISERROR(IF(C5="","",RANK(R5,$R$3:$S$6,0))),"",IF(C5="","",RANK(R5,$R$3:$S$6,0)))</f>
        <v>2</v>
      </c>
      <c r="U5" s="9"/>
      <c r="V5" s="9"/>
      <c r="W5" s="7">
        <v>4</v>
      </c>
      <c r="X5" s="381" t="str">
        <f t="shared" si="0"/>
        <v/>
      </c>
      <c r="Y5" s="382"/>
      <c r="Z5" s="383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46</v>
      </c>
      <c r="AH5" s="10">
        <f>G9+I9+K9+M9+O9+Q9+S9</f>
        <v>13</v>
      </c>
      <c r="AI5" s="10">
        <f>F14+H14+J14+L14+N14+P14+R14</f>
        <v>0</v>
      </c>
      <c r="AJ5" s="10">
        <f>F18+H18+J18+L18+N18+P18+R18</f>
        <v>33</v>
      </c>
      <c r="AK5" s="375">
        <f t="shared" si="2"/>
        <v>-7</v>
      </c>
      <c r="AL5" s="376"/>
      <c r="AM5" s="10">
        <f>AH3</f>
        <v>33</v>
      </c>
      <c r="AN5" s="10">
        <f>AI6</f>
        <v>0</v>
      </c>
      <c r="AO5" s="10">
        <f>AJ4</f>
        <v>20</v>
      </c>
      <c r="AP5" s="9">
        <f t="shared" si="3"/>
        <v>53</v>
      </c>
    </row>
    <row r="6" spans="2:47" ht="24" customHeight="1" thickBot="1">
      <c r="B6" s="116">
        <v>4</v>
      </c>
      <c r="C6" s="371" t="str">
        <f>IF(GROUPS!F7="","",GROUPS!F7)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151</v>
      </c>
      <c r="Q7" s="127">
        <f>SUM(Q3:Q6)</f>
        <v>151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Алeксандар Марковиќ (3)</v>
      </c>
      <c r="D9" s="130">
        <v>3</v>
      </c>
      <c r="E9" s="131" t="str">
        <f>IF(C5="","",VLOOKUP(D9,$B$3:$E$6,2,FALSE))</f>
        <v>Лука Огненоски (15)</v>
      </c>
      <c r="F9" s="132">
        <v>11</v>
      </c>
      <c r="G9" s="133">
        <v>3</v>
      </c>
      <c r="H9" s="134">
        <v>11</v>
      </c>
      <c r="I9" s="133">
        <v>2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Дарко Китановски (499)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Алeксандар Марковиќ (3)</v>
      </c>
      <c r="D13" s="130">
        <v>2</v>
      </c>
      <c r="E13" s="131" t="str">
        <f>IF(C4="","",VLOOKUP(D13,$B$3:$E$6,2,FALSE))</f>
        <v>Дарко Китановски (499)</v>
      </c>
      <c r="F13" s="132">
        <v>11</v>
      </c>
      <c r="G13" s="133">
        <v>6</v>
      </c>
      <c r="H13" s="134">
        <v>11</v>
      </c>
      <c r="I13" s="133">
        <v>4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Лука Огненоски (15)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Алeксандар Марковиќ (3)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Лука Огненоски (15)</v>
      </c>
      <c r="D18" s="140">
        <v>2</v>
      </c>
      <c r="E18" s="141" t="str">
        <f>IF(C4="","",VLOOKUP(D18,$B$3:$E$6,2,FALSE))</f>
        <v>Дарко Китановски (499)</v>
      </c>
      <c r="F18" s="142">
        <v>11</v>
      </c>
      <c r="G18" s="143">
        <v>7</v>
      </c>
      <c r="H18" s="144">
        <v>11</v>
      </c>
      <c r="I18" s="143">
        <v>6</v>
      </c>
      <c r="J18" s="142">
        <v>11</v>
      </c>
      <c r="K18" s="145">
        <v>7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0000"/>
  </sheetPr>
  <dimension ref="B1:AU21"/>
  <sheetViews>
    <sheetView workbookViewId="0">
      <selection activeCell="AQ15" sqref="AQ15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.7109375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389" t="s">
        <v>0</v>
      </c>
      <c r="C1" s="389"/>
      <c r="D1" s="38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91" t="s">
        <v>3</v>
      </c>
      <c r="D2" s="392"/>
      <c r="E2" s="393"/>
      <c r="F2" s="394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Венко Стојанов (49)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101">
        <v>1</v>
      </c>
      <c r="C3" s="377" t="str">
        <f>IF(GROUPS!H4="","",GROUPS!H4)</f>
        <v>Христијан Јовановски  (2)</v>
      </c>
      <c r="D3" s="378"/>
      <c r="E3" s="379"/>
      <c r="F3" s="102"/>
      <c r="G3" s="103"/>
      <c r="H3" s="104">
        <f>T13</f>
        <v>3</v>
      </c>
      <c r="I3" s="105">
        <f>U13</f>
        <v>1</v>
      </c>
      <c r="J3" s="104">
        <f>T9</f>
        <v>1</v>
      </c>
      <c r="K3" s="106">
        <f>U9</f>
        <v>3</v>
      </c>
      <c r="L3" s="104" t="str">
        <f>T17</f>
        <v/>
      </c>
      <c r="M3" s="107" t="str">
        <f>U17</f>
        <v/>
      </c>
      <c r="N3" s="108">
        <f>IF(AND(T9="",T13="",T17=""),"",SUM(H3,J3,L3))</f>
        <v>4</v>
      </c>
      <c r="O3" s="109">
        <f>IF(AND(T9="",T13="",T17=""),"",SUM(I3,K3,M3))</f>
        <v>4</v>
      </c>
      <c r="P3" s="110">
        <f>IF(AND(T9="",T13="",T17=""),"",AG3)</f>
        <v>78</v>
      </c>
      <c r="Q3" s="111">
        <f>IF(AND(T9="",T13="",T17=""),"",AP3)</f>
        <v>77</v>
      </c>
      <c r="R3" s="380">
        <f>IF(ISERROR(IF(AND(T9="",T13="",T17=""),"",SUM(AB3:AD3)+(N3-O3)/1000)+(AK3/10000)),"",IF(AND(T9="",T13="",T17=""),"",SUM(AB3:AD3)+(N3-O3)/1000)+(AK3/10000)+(AG3/100000))</f>
        <v>3.00088</v>
      </c>
      <c r="S3" s="380"/>
      <c r="T3" s="112">
        <f>IF(ISERROR(IF(C3="","",RANK(R3,$R$3:$S$6,0))),"",IF(C3="","",RANK(R3,$R$3:$S$6,0)))</f>
        <v>2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Христијан Јовановски  (2)</v>
      </c>
      <c r="Y3" s="385"/>
      <c r="Z3" s="386"/>
      <c r="AB3" s="10">
        <f>IF(H3="","",IF(H3&gt;I3,2,1))</f>
        <v>2</v>
      </c>
      <c r="AC3" s="10">
        <f>IF(J3="","",IF(J3&gt;K3,2,1))</f>
        <v>1</v>
      </c>
      <c r="AD3" s="10" t="str">
        <f>IF(L3="","",IF(L3&gt;M3,2,1))</f>
        <v/>
      </c>
      <c r="AE3" s="182"/>
      <c r="AG3" s="11">
        <f>SUM(AH3:AJ3)</f>
        <v>78</v>
      </c>
      <c r="AH3" s="10">
        <f>F9+H9+J9+L9+N9+P9+R9</f>
        <v>37</v>
      </c>
      <c r="AI3" s="10">
        <f>F13+H13+J13+L13+N13+P13+R13</f>
        <v>41</v>
      </c>
      <c r="AJ3" s="10">
        <f>F17+H17+J17+L17+N17+P17+R17</f>
        <v>0</v>
      </c>
      <c r="AK3" s="375">
        <f>SUM(AH3:AJ3)-SUM(AM3:AO3)</f>
        <v>1</v>
      </c>
      <c r="AL3" s="376"/>
      <c r="AM3" s="10">
        <f>AH5</f>
        <v>44</v>
      </c>
      <c r="AN3" s="10">
        <f>AI4</f>
        <v>33</v>
      </c>
      <c r="AO3" s="10">
        <f>AJ6</f>
        <v>0</v>
      </c>
      <c r="AP3" s="9">
        <f>SUM(AM3:AO3)</f>
        <v>77</v>
      </c>
    </row>
    <row r="4" spans="2:47" ht="24" customHeight="1">
      <c r="B4" s="101">
        <v>2</v>
      </c>
      <c r="C4" s="377" t="str">
        <f>IF(GROUPS!H5="","",GROUPS!H5)</f>
        <v>Сашо Стојановски (35)</v>
      </c>
      <c r="D4" s="378"/>
      <c r="E4" s="379"/>
      <c r="F4" s="113">
        <f>U13</f>
        <v>1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1</v>
      </c>
      <c r="O4" s="109">
        <f>IF(AND(T10="",U13="",U18=""),"",SUM(G4,K4,M4))</f>
        <v>6</v>
      </c>
      <c r="P4" s="110">
        <f>IF(AND(T10="",U13="",U18=""),"",AG4)</f>
        <v>57</v>
      </c>
      <c r="Q4" s="111">
        <f>IF(AND(T10="",U13="",U18=""),"",AP4)</f>
        <v>75</v>
      </c>
      <c r="R4" s="380">
        <f>IF(ISERROR(IF(AND(T10="",U13="",U18=""),"",SUM(AB4:AD4)+(N4-O4)/1000)+(AK4/10000)+(AG4/100000)),"",IF(AND(T10="",U13="",U18=""),"",SUM(AB4:AD4)+(N4-O4)/1000)+(AK4/10000)+(AG4/100000))</f>
        <v>1.99377</v>
      </c>
      <c r="S4" s="380"/>
      <c r="T4" s="112">
        <f>IF(ISERROR(IF(C4="","",RANK(R4,$R$3:$S$6,0))),"",IF(C4="","",RANK(R4,$R$3:$S$6,0)))</f>
        <v>3</v>
      </c>
      <c r="U4" s="9"/>
      <c r="V4" s="9"/>
      <c r="W4" s="7">
        <v>3</v>
      </c>
      <c r="X4" s="381" t="str">
        <f t="shared" si="0"/>
        <v>Сашо Стојановски (35)</v>
      </c>
      <c r="Y4" s="382"/>
      <c r="Z4" s="383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57</v>
      </c>
      <c r="AH4" s="10">
        <f>F10+H10+J10+L10+N10+P10+R10</f>
        <v>0</v>
      </c>
      <c r="AI4" s="10">
        <f>G13+I13+K13+M13+O13+Q13+S13</f>
        <v>33</v>
      </c>
      <c r="AJ4" s="10">
        <f>G18+I18+K18+M18+O18+Q18+S18</f>
        <v>24</v>
      </c>
      <c r="AK4" s="375">
        <f t="shared" ref="AK4:AK6" si="2">SUM(AH4:AJ4)-SUM(AM4:AO4)</f>
        <v>-18</v>
      </c>
      <c r="AL4" s="376"/>
      <c r="AM4" s="10">
        <f>AH6</f>
        <v>0</v>
      </c>
      <c r="AN4" s="10">
        <f>AI3</f>
        <v>41</v>
      </c>
      <c r="AO4" s="10">
        <f>AJ5</f>
        <v>34</v>
      </c>
      <c r="AP4" s="9">
        <f t="shared" ref="AP4:AP6" si="3">SUM(AM4:AO4)</f>
        <v>75</v>
      </c>
    </row>
    <row r="5" spans="2:47" ht="24" customHeight="1">
      <c r="B5" s="101">
        <v>3</v>
      </c>
      <c r="C5" s="377" t="str">
        <f>IF(GROUPS!H6="","",GROUPS!H6)</f>
        <v>Венко Стојанов (49)</v>
      </c>
      <c r="D5" s="378"/>
      <c r="E5" s="379"/>
      <c r="F5" s="113">
        <f>U9</f>
        <v>3</v>
      </c>
      <c r="G5" s="106">
        <f>T9</f>
        <v>1</v>
      </c>
      <c r="H5" s="104">
        <f>T18</f>
        <v>3</v>
      </c>
      <c r="I5" s="106">
        <f>U18</f>
        <v>0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6</v>
      </c>
      <c r="O5" s="109">
        <f>IF(AND(U9="",T14="",T18=""),"",SUM(G5,I5,M5))</f>
        <v>1</v>
      </c>
      <c r="P5" s="110">
        <f>IF(AND(U9="",T14="",T18=""),"",AG5)</f>
        <v>78</v>
      </c>
      <c r="Q5" s="111">
        <f>IF(AND(U9="",T14="",T18=""),"",AP5)</f>
        <v>61</v>
      </c>
      <c r="R5" s="380">
        <f>IF(ISERROR(IF(AND(U9="",T14="",T18=""),"",SUM(AB5:AD5)+(N5-O5)/1000)+(AK5/10000)+(AG5/100000)),"",IF(AND(U9="",T14="",T18=""),"",SUM(AB5:AD5)+(N5-O5)/1000)+(AK5/10000)+(AG5/100000))</f>
        <v>4.0074799999999993</v>
      </c>
      <c r="S5" s="380"/>
      <c r="T5" s="112">
        <f>IF(ISERROR(IF(C5="","",RANK(R5,$R$3:$S$6,0))),"",IF(C5="","",RANK(R5,$R$3:$S$6,0)))</f>
        <v>1</v>
      </c>
      <c r="U5" s="9"/>
      <c r="V5" s="9"/>
      <c r="W5" s="7">
        <v>4</v>
      </c>
      <c r="X5" s="381" t="str">
        <f t="shared" si="0"/>
        <v/>
      </c>
      <c r="Y5" s="382"/>
      <c r="Z5" s="383"/>
      <c r="AB5" s="10">
        <f t="shared" ref="AB5:AB6" si="4">IF(F5="","",IF(F5&gt;G5,2,1))</f>
        <v>2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78</v>
      </c>
      <c r="AH5" s="10">
        <f>G9+I9+K9+M9+O9+Q9+S9</f>
        <v>44</v>
      </c>
      <c r="AI5" s="10">
        <f>F14+H14+J14+L14+N14+P14+R14</f>
        <v>0</v>
      </c>
      <c r="AJ5" s="10">
        <f>F18+H18+J18+L18+N18+P18+R18</f>
        <v>34</v>
      </c>
      <c r="AK5" s="375">
        <f t="shared" si="2"/>
        <v>17</v>
      </c>
      <c r="AL5" s="376"/>
      <c r="AM5" s="10">
        <f>AH3</f>
        <v>37</v>
      </c>
      <c r="AN5" s="10">
        <f>AI6</f>
        <v>0</v>
      </c>
      <c r="AO5" s="10">
        <f>AJ4</f>
        <v>24</v>
      </c>
      <c r="AP5" s="9">
        <f t="shared" si="3"/>
        <v>61</v>
      </c>
    </row>
    <row r="6" spans="2:47" ht="24" customHeight="1" thickBot="1">
      <c r="B6" s="116">
        <v>4</v>
      </c>
      <c r="C6" s="371" t="str">
        <f>IF(GROUPS!H7="","",GROUPS!H7)</f>
        <v/>
      </c>
      <c r="D6" s="372"/>
      <c r="E6" s="373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213</v>
      </c>
      <c r="Q7" s="127">
        <f>SUM(Q3:Q6)</f>
        <v>213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Христијан Јовановски  (2)</v>
      </c>
      <c r="D9" s="130">
        <v>3</v>
      </c>
      <c r="E9" s="131" t="str">
        <f>IF(C5="","",VLOOKUP(D9,$B$3:$E$6,2,FALSE))</f>
        <v>Венко Стојанов (49)</v>
      </c>
      <c r="F9" s="132">
        <v>11</v>
      </c>
      <c r="G9" s="133">
        <v>13</v>
      </c>
      <c r="H9" s="134">
        <v>11</v>
      </c>
      <c r="I9" s="133">
        <v>9</v>
      </c>
      <c r="J9" s="132">
        <v>7</v>
      </c>
      <c r="K9" s="135">
        <v>11</v>
      </c>
      <c r="L9" s="134">
        <v>8</v>
      </c>
      <c r="M9" s="133">
        <v>11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1</v>
      </c>
      <c r="U9" s="137">
        <f>IF(F9="","",SUM(SUMPRODUCT(--(F9&lt;G9)),SUMPRODUCT(--(H9&lt;I9)),SUMPRODUCT(--(J9&lt;K9)),SUMPRODUCT(--(L9&lt;M9)),SUMPRODUCT(--(N9&lt;O9)),SUMPRODUCT(--(P9&lt;Q9)),SUMPRODUCT(--(R9&lt;S9))))</f>
        <v>3</v>
      </c>
      <c r="AB9" s="10">
        <f>IF(F9="","",IF(F9&gt;G9,1,0))</f>
        <v>0</v>
      </c>
      <c r="AC9" s="10">
        <f>IF(G9="","",IF(G9&gt;F9,1,0))</f>
        <v>1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0</v>
      </c>
      <c r="AI9" s="10">
        <f>IF(M9="","",IF(M9&gt;L9,1,0))</f>
        <v>1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Сашо Стојановски (35)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Христијан Јовановски  (2)</v>
      </c>
      <c r="D13" s="130">
        <v>2</v>
      </c>
      <c r="E13" s="131" t="str">
        <f>IF(C4="","",VLOOKUP(D13,$B$3:$E$6,2,FALSE))</f>
        <v>Сашо Стојановски (35)</v>
      </c>
      <c r="F13" s="132">
        <v>11</v>
      </c>
      <c r="G13" s="133">
        <v>8</v>
      </c>
      <c r="H13" s="134">
        <v>7</v>
      </c>
      <c r="I13" s="133">
        <v>11</v>
      </c>
      <c r="J13" s="132">
        <v>12</v>
      </c>
      <c r="K13" s="135">
        <v>10</v>
      </c>
      <c r="L13" s="134">
        <v>11</v>
      </c>
      <c r="M13" s="133">
        <v>4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Венко Стојанов (49)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Христијан Јовановски  (2)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Венко Стојанов (49)</v>
      </c>
      <c r="D18" s="140">
        <v>2</v>
      </c>
      <c r="E18" s="141" t="str">
        <f>IF(C4="","",VLOOKUP(D18,$B$3:$E$6,2,FALSE))</f>
        <v>Сашо Стојановски (35)</v>
      </c>
      <c r="F18" s="142">
        <v>12</v>
      </c>
      <c r="G18" s="143">
        <v>10</v>
      </c>
      <c r="H18" s="144">
        <v>11</v>
      </c>
      <c r="I18" s="143">
        <v>6</v>
      </c>
      <c r="J18" s="142">
        <v>11</v>
      </c>
      <c r="K18" s="145">
        <v>8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0000"/>
  </sheetPr>
  <dimension ref="B1:AU21"/>
  <sheetViews>
    <sheetView workbookViewId="0">
      <selection activeCell="Y11" sqref="Y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Лука Стојчев (73)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IF(GROUPS!J4="","",GROUPS!J4)</f>
        <v>Лука Стојчев (73)</v>
      </c>
      <c r="D3" s="409"/>
      <c r="E3" s="410"/>
      <c r="F3" s="197"/>
      <c r="G3" s="103"/>
      <c r="H3" s="104">
        <f>T13</f>
        <v>3</v>
      </c>
      <c r="I3" s="105">
        <f>U13</f>
        <v>0</v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>
        <f>IF(AND(T9="",T13="",T17=""),"",SUM(H3,J3,L3))</f>
        <v>3</v>
      </c>
      <c r="O3" s="109">
        <f>IF(AND(T9="",T13="",T17=""),"",SUM(I3,K3,M3))</f>
        <v>0</v>
      </c>
      <c r="P3" s="110">
        <f>IF(AND(T9="",T13="",T17=""),"",AG3)</f>
        <v>33</v>
      </c>
      <c r="Q3" s="111">
        <f>IF(AND(T9="",T13="",T17=""),"",AP3)</f>
        <v>12</v>
      </c>
      <c r="R3" s="380">
        <f>IF(ISERROR(IF(AND(T9="",T13="",T17=""),"",SUM(AB3:AD3)+(N3-O3)/1000)+(AK3/10000)),"",IF(AND(T9="",T13="",T17=""),"",SUM(AB3:AD3)+(N3-O3)/1000)+(AK3/10000)+(AG3/100000))</f>
        <v>2.00543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Зоран Димитријевски (74)</v>
      </c>
      <c r="Y3" s="385"/>
      <c r="Z3" s="386"/>
      <c r="AB3" s="10">
        <f>IF(H3="","",IF(H3&gt;I3,2,1))</f>
        <v>2</v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33</v>
      </c>
      <c r="AH3" s="10">
        <f>F9+H9+J9+L9+N9+P9+R9</f>
        <v>0</v>
      </c>
      <c r="AI3" s="10">
        <f>F13+H13+J13+L13+N13+P13+R13</f>
        <v>33</v>
      </c>
      <c r="AJ3" s="10">
        <f>F17+H17+J17+L17+N17+P17+R17</f>
        <v>0</v>
      </c>
      <c r="AK3" s="375">
        <f>SUM(AH3:AJ3)-SUM(AM3:AO3)</f>
        <v>21</v>
      </c>
      <c r="AL3" s="376"/>
      <c r="AM3" s="10">
        <f>AH5</f>
        <v>0</v>
      </c>
      <c r="AN3" s="10">
        <f>AI4</f>
        <v>12</v>
      </c>
      <c r="AO3" s="10">
        <f>AJ6</f>
        <v>0</v>
      </c>
      <c r="AP3" s="9">
        <f>SUM(AM3:AO3)</f>
        <v>12</v>
      </c>
    </row>
    <row r="4" spans="2:47" ht="24" customHeight="1">
      <c r="B4" s="200">
        <v>2</v>
      </c>
      <c r="C4" s="409" t="str">
        <f>IF(GROUPS!J5="","",GROUPS!J5)</f>
        <v>Зоран Димитријевски (74)</v>
      </c>
      <c r="D4" s="409"/>
      <c r="E4" s="410"/>
      <c r="F4" s="198">
        <f>U13</f>
        <v>0</v>
      </c>
      <c r="G4" s="106">
        <f>T13</f>
        <v>3</v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3</v>
      </c>
      <c r="P4" s="110">
        <f>IF(AND(T10="",U13="",U18=""),"",AG4)</f>
        <v>12</v>
      </c>
      <c r="Q4" s="111">
        <f>IF(AND(T10="",U13="",U18=""),"",AP4)</f>
        <v>33</v>
      </c>
      <c r="R4" s="380">
        <f>IF(ISERROR(IF(AND(T10="",U13="",U18=""),"",SUM(AB4:AD4)+(N4-O4)/1000)+(AK4/10000)+(AG4/100000)),"",IF(AND(T10="",U13="",U18=""),"",SUM(AB4:AD4)+(N4-O4)/1000)+(AK4/10000)+(AG4/100000))</f>
        <v>0.99502000000000002</v>
      </c>
      <c r="S4" s="380"/>
      <c r="T4" s="112">
        <f>IF(ISERROR(IF(C4="","",RANK(R4,$R$3:$S$6,0))),"",IF(C4="","",RANK(R4,$R$3:$S$6,0)))</f>
        <v>2</v>
      </c>
      <c r="U4" s="9"/>
      <c r="V4" s="9"/>
      <c r="W4" s="7">
        <v>3</v>
      </c>
      <c r="X4" s="381" t="str">
        <f t="shared" si="0"/>
        <v/>
      </c>
      <c r="Y4" s="382"/>
      <c r="Z4" s="383"/>
      <c r="AB4" s="10">
        <f>IF(F4="","",IF(F4&gt;G4,2,1))</f>
        <v>1</v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12</v>
      </c>
      <c r="AH4" s="10">
        <f>F10+H10+J10+L10+N10+P10+R10</f>
        <v>0</v>
      </c>
      <c r="AI4" s="10">
        <f>G13+I13+K13+M13+O13+Q13+S13</f>
        <v>12</v>
      </c>
      <c r="AJ4" s="10">
        <f>G18+I18+K18+M18+O18+Q18+S18</f>
        <v>0</v>
      </c>
      <c r="AK4" s="375">
        <f t="shared" ref="AK4:AK6" si="2">SUM(AH4:AJ4)-SUM(AM4:AO4)</f>
        <v>-21</v>
      </c>
      <c r="AL4" s="376"/>
      <c r="AM4" s="10">
        <f>AH6</f>
        <v>0</v>
      </c>
      <c r="AN4" s="10">
        <f>AI3</f>
        <v>33</v>
      </c>
      <c r="AO4" s="10">
        <f>AJ5</f>
        <v>0</v>
      </c>
      <c r="AP4" s="9">
        <f t="shared" ref="AP4:AP6" si="3">SUM(AM4:AO4)</f>
        <v>33</v>
      </c>
    </row>
    <row r="5" spans="2:47" ht="24" customHeight="1">
      <c r="B5" s="200">
        <v>3</v>
      </c>
      <c r="C5" s="409" t="str">
        <f>IF(GROUPS!J6="","",GROUPS!J6)</f>
        <v>Марко Китановски (500)</v>
      </c>
      <c r="D5" s="409"/>
      <c r="E5" s="410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0" t="str">
        <f>IF(ISERROR(IF(AND(U9="",T14="",T18=""),"",SUM(AB5:AD5)+(N5-O5)/1000)+(AK5/10000)+(AG5/100000)),"",IF(AND(U9="",T14="",T18=""),"",SUM(AB5:AD5)+(N5-O5)/1000)+(AK5/10000)+(AG5/100000))</f>
        <v/>
      </c>
      <c r="S5" s="380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1" t="str">
        <f t="shared" si="0"/>
        <v/>
      </c>
      <c r="Y5" s="382"/>
      <c r="Z5" s="383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75">
        <f t="shared" si="2"/>
        <v>0</v>
      </c>
      <c r="AL5" s="376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14" t="str">
        <f>IF(GROUPS!J7="","",GROUPS!J7)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45</v>
      </c>
      <c r="Q7" s="127">
        <f>SUM(Q3:Q6)</f>
        <v>45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Лука Стојчев (73)</v>
      </c>
      <c r="D9" s="130">
        <v>3</v>
      </c>
      <c r="E9" s="131" t="str">
        <f>IF(C5="","",VLOOKUP(D9,$B$3:$E$6,2,FALSE))</f>
        <v>Марко Китановски (500)</v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Зоран Димитријевски (74)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Лука Стојчев (73)</v>
      </c>
      <c r="D13" s="130">
        <v>2</v>
      </c>
      <c r="E13" s="131" t="str">
        <f>IF(C4="","",VLOOKUP(D13,$B$3:$E$6,2,FALSE))</f>
        <v>Зоран Димитријевски (74)</v>
      </c>
      <c r="F13" s="132">
        <v>11</v>
      </c>
      <c r="G13" s="133">
        <v>1</v>
      </c>
      <c r="H13" s="134">
        <v>11</v>
      </c>
      <c r="I13" s="133">
        <v>2</v>
      </c>
      <c r="J13" s="132">
        <v>11</v>
      </c>
      <c r="K13" s="135">
        <v>9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Марко Китановски (500)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Лука Стојчев (73)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Марко Китановски (500)</v>
      </c>
      <c r="D18" s="140">
        <v>2</v>
      </c>
      <c r="E18" s="141" t="str">
        <f>IF(C4="","",VLOOKUP(D18,$B$3:$E$6,2,FALSE))</f>
        <v>Зоран Димитријевски (74)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0000"/>
  </sheetPr>
  <dimension ref="B1:AU21"/>
  <sheetViews>
    <sheetView workbookViewId="0">
      <selection activeCell="AQ11" sqref="AQ11"/>
    </sheetView>
  </sheetViews>
  <sheetFormatPr defaultColWidth="9.140625" defaultRowHeight="18.75"/>
  <cols>
    <col min="1" max="1" width="1.42578125" style="9" customWidth="1"/>
    <col min="2" max="2" width="3.85546875" style="8" customWidth="1"/>
    <col min="3" max="3" width="22.140625" style="13" customWidth="1"/>
    <col min="4" max="4" width="4.28515625" style="8" customWidth="1"/>
    <col min="5" max="5" width="22.140625" style="13" customWidth="1"/>
    <col min="6" max="19" width="3" style="9" customWidth="1"/>
    <col min="20" max="21" width="5" style="8" customWidth="1"/>
    <col min="22" max="22" width="2.28515625" style="12" customWidth="1"/>
    <col min="23" max="23" width="5.28515625" style="12" customWidth="1"/>
    <col min="24" max="24" width="10" style="12" customWidth="1"/>
    <col min="25" max="25" width="10.42578125" style="12" customWidth="1"/>
    <col min="26" max="26" width="10" style="12" customWidth="1"/>
    <col min="27" max="27" width="3.42578125" style="9" hidden="1" customWidth="1"/>
    <col min="28" max="41" width="4.140625" style="11" hidden="1" customWidth="1"/>
    <col min="42" max="42" width="4.140625" style="9" hidden="1" customWidth="1"/>
    <col min="43" max="16384" width="9.140625" style="9"/>
  </cols>
  <sheetData>
    <row r="1" spans="2:47" s="6" customFormat="1" ht="21.75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90" t="s">
        <v>1</v>
      </c>
      <c r="R1" s="390"/>
      <c r="S1" s="390"/>
      <c r="T1" s="390"/>
      <c r="U1" s="39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97">
        <v>1</v>
      </c>
      <c r="G2" s="395"/>
      <c r="H2" s="396">
        <v>2</v>
      </c>
      <c r="I2" s="395"/>
      <c r="J2" s="396">
        <v>3</v>
      </c>
      <c r="K2" s="395"/>
      <c r="L2" s="396">
        <v>4</v>
      </c>
      <c r="M2" s="397"/>
      <c r="N2" s="398" t="s">
        <v>4</v>
      </c>
      <c r="O2" s="399"/>
      <c r="P2" s="400" t="s">
        <v>84</v>
      </c>
      <c r="Q2" s="401"/>
      <c r="R2" s="402" t="s">
        <v>5</v>
      </c>
      <c r="S2" s="402"/>
      <c r="T2" s="100" t="s">
        <v>6</v>
      </c>
      <c r="W2" s="7">
        <v>1</v>
      </c>
      <c r="X2" s="384" t="str">
        <f>IF(ISERROR(INDEX($C$3:$C$6,MATCH(W2,$T$3:$T$6,0))),"",(INDEX($C$3:$C$6,MATCH(W2,$T$3:$T$6,0))))</f>
        <v>Александар Јакимовски (178)</v>
      </c>
      <c r="Y2" s="385"/>
      <c r="Z2" s="386"/>
      <c r="AB2" s="387" t="s">
        <v>85</v>
      </c>
      <c r="AC2" s="387"/>
      <c r="AD2" s="387"/>
      <c r="AE2" s="387"/>
      <c r="AG2" s="6" t="s">
        <v>86</v>
      </c>
      <c r="AK2" s="388" t="s">
        <v>87</v>
      </c>
      <c r="AL2" s="388"/>
      <c r="AP2" s="6" t="s">
        <v>88</v>
      </c>
    </row>
    <row r="3" spans="2:47" ht="24" customHeight="1">
      <c r="B3" s="200">
        <v>1</v>
      </c>
      <c r="C3" s="409" t="str">
        <f>IF(GROUPS!D9="","",GROUPS!D9)</f>
        <v>Александар Јакимовски (178)</v>
      </c>
      <c r="D3" s="409"/>
      <c r="E3" s="410"/>
      <c r="F3" s="197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0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0</v>
      </c>
      <c r="P3" s="110">
        <f>IF(AND(T9="",T13="",T17=""),"",AG3)</f>
        <v>69</v>
      </c>
      <c r="Q3" s="111">
        <f>IF(AND(T9="",T13="",T17=""),"",AP3)</f>
        <v>40</v>
      </c>
      <c r="R3" s="380">
        <f>IF(ISERROR(IF(AND(T9="",T13="",T17=""),"",SUM(AB3:AD3)+(N3-O3)/1000)+(AK3/10000)),"",IF(AND(T9="",T13="",T17=""),"",SUM(AB3:AD3)+(N3-O3)/1000)+(AK3/10000)+(AG3/100000))</f>
        <v>4.0095900000000002</v>
      </c>
      <c r="S3" s="380"/>
      <c r="T3" s="112">
        <f>IF(ISERROR(IF(C3="","",RANK(R3,$R$3:$S$6,0))),"",IF(C3="","",RANK(R3,$R$3:$S$6,0)))</f>
        <v>1</v>
      </c>
      <c r="U3" s="9"/>
      <c r="V3" s="9"/>
      <c r="W3" s="7">
        <v>2</v>
      </c>
      <c r="X3" s="384" t="str">
        <f t="shared" ref="X3:X5" si="0">IF(ISERROR(INDEX($C$3:$C$6,MATCH(W3,$T$3:$T$6,0))),"",(INDEX($C$3:$C$6,MATCH(W3,$T$3:$T$6,0))))</f>
        <v>Славчо Спасеноски  (278)</v>
      </c>
      <c r="Y3" s="385"/>
      <c r="Z3" s="386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69</v>
      </c>
      <c r="AH3" s="10">
        <f>F9+H9+J9+L9+N9+P9+R9</f>
        <v>34</v>
      </c>
      <c r="AI3" s="10">
        <f>F13+H13+J13+L13+N13+P13+R13</f>
        <v>35</v>
      </c>
      <c r="AJ3" s="10">
        <f>F17+H17+J17+L17+N17+P17+R17</f>
        <v>0</v>
      </c>
      <c r="AK3" s="375">
        <f>SUM(AH3:AJ3)-SUM(AM3:AO3)</f>
        <v>29</v>
      </c>
      <c r="AL3" s="376"/>
      <c r="AM3" s="10">
        <f>AH5</f>
        <v>22</v>
      </c>
      <c r="AN3" s="10">
        <f>AI4</f>
        <v>18</v>
      </c>
      <c r="AO3" s="10">
        <f>AJ6</f>
        <v>0</v>
      </c>
      <c r="AP3" s="9">
        <f>SUM(AM3:AO3)</f>
        <v>40</v>
      </c>
    </row>
    <row r="4" spans="2:47" ht="24" customHeight="1">
      <c r="B4" s="200">
        <v>2</v>
      </c>
      <c r="C4" s="409" t="str">
        <f>IF(GROUPS!D10="","",GROUPS!D10)</f>
        <v>Боро Варошлија (85)</v>
      </c>
      <c r="D4" s="409"/>
      <c r="E4" s="410"/>
      <c r="F4" s="198">
        <f>U13</f>
        <v>0</v>
      </c>
      <c r="G4" s="106">
        <f>T13</f>
        <v>3</v>
      </c>
      <c r="H4" s="114"/>
      <c r="I4" s="103"/>
      <c r="J4" s="104">
        <f>U18</f>
        <v>0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0</v>
      </c>
      <c r="O4" s="109">
        <f>IF(AND(T10="",U13="",U18=""),"",SUM(G4,K4,M4))</f>
        <v>6</v>
      </c>
      <c r="P4" s="110">
        <f>IF(AND(T10="",U13="",U18=""),"",AG4)</f>
        <v>37</v>
      </c>
      <c r="Q4" s="111">
        <f>IF(AND(T10="",U13="",U18=""),"",AP4)</f>
        <v>68</v>
      </c>
      <c r="R4" s="380">
        <f>IF(ISERROR(IF(AND(T10="",U13="",U18=""),"",SUM(AB4:AD4)+(N4-O4)/1000)+(AK4/10000)+(AG4/100000)),"",IF(AND(T10="",U13="",U18=""),"",SUM(AB4:AD4)+(N4-O4)/1000)+(AK4/10000)+(AG4/100000))</f>
        <v>1.9912699999999999</v>
      </c>
      <c r="S4" s="380"/>
      <c r="T4" s="112">
        <f>IF(ISERROR(IF(C4="","",RANK(R4,$R$3:$S$6,0))),"",IF(C4="","",RANK(R4,$R$3:$S$6,0)))</f>
        <v>3</v>
      </c>
      <c r="U4" s="9"/>
      <c r="V4" s="9"/>
      <c r="W4" s="7">
        <v>3</v>
      </c>
      <c r="X4" s="381" t="str">
        <f t="shared" si="0"/>
        <v>Боро Варошлија (85)</v>
      </c>
      <c r="Y4" s="382"/>
      <c r="Z4" s="383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37</v>
      </c>
      <c r="AH4" s="10">
        <f>F10+H10+J10+L10+N10+P10+R10</f>
        <v>0</v>
      </c>
      <c r="AI4" s="10">
        <f>G13+I13+K13+M13+O13+Q13+S13</f>
        <v>18</v>
      </c>
      <c r="AJ4" s="10">
        <f>G18+I18+K18+M18+O18+Q18+S18</f>
        <v>19</v>
      </c>
      <c r="AK4" s="375">
        <f t="shared" ref="AK4:AK6" si="2">SUM(AH4:AJ4)-SUM(AM4:AO4)</f>
        <v>-31</v>
      </c>
      <c r="AL4" s="376"/>
      <c r="AM4" s="10">
        <f>AH6</f>
        <v>0</v>
      </c>
      <c r="AN4" s="10">
        <f>AI3</f>
        <v>35</v>
      </c>
      <c r="AO4" s="10">
        <f>AJ5</f>
        <v>33</v>
      </c>
      <c r="AP4" s="9">
        <f t="shared" ref="AP4:AP6" si="3">SUM(AM4:AO4)</f>
        <v>68</v>
      </c>
    </row>
    <row r="5" spans="2:47" ht="24" customHeight="1">
      <c r="B5" s="200">
        <v>3</v>
      </c>
      <c r="C5" s="409" t="str">
        <f>IF(GROUPS!D11="","",GROUPS!D11)</f>
        <v>Славчо Спасеноски  (278)</v>
      </c>
      <c r="D5" s="409"/>
      <c r="E5" s="410"/>
      <c r="F5" s="198">
        <f>U9</f>
        <v>0</v>
      </c>
      <c r="G5" s="106">
        <f>T9</f>
        <v>3</v>
      </c>
      <c r="H5" s="104">
        <f>T18</f>
        <v>3</v>
      </c>
      <c r="I5" s="106">
        <f>U18</f>
        <v>0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3</v>
      </c>
      <c r="O5" s="109">
        <f>IF(AND(U9="",T14="",T18=""),"",SUM(G5,I5,M5))</f>
        <v>3</v>
      </c>
      <c r="P5" s="110">
        <f>IF(AND(U9="",T14="",T18=""),"",AG5)</f>
        <v>55</v>
      </c>
      <c r="Q5" s="111">
        <f>IF(AND(U9="",T14="",T18=""),"",AP5)</f>
        <v>53</v>
      </c>
      <c r="R5" s="380">
        <f>IF(ISERROR(IF(AND(U9="",T14="",T18=""),"",SUM(AB5:AD5)+(N5-O5)/1000)+(AK5/10000)+(AG5/100000)),"",IF(AND(U9="",T14="",T18=""),"",SUM(AB5:AD5)+(N5-O5)/1000)+(AK5/10000)+(AG5/100000))</f>
        <v>3.00075</v>
      </c>
      <c r="S5" s="380"/>
      <c r="T5" s="112">
        <f>IF(ISERROR(IF(C5="","",RANK(R5,$R$3:$S$6,0))),"",IF(C5="","",RANK(R5,$R$3:$S$6,0)))</f>
        <v>2</v>
      </c>
      <c r="U5" s="9"/>
      <c r="V5" s="9"/>
      <c r="W5" s="7">
        <v>4</v>
      </c>
      <c r="X5" s="381" t="str">
        <f t="shared" si="0"/>
        <v/>
      </c>
      <c r="Y5" s="382"/>
      <c r="Z5" s="383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55</v>
      </c>
      <c r="AH5" s="10">
        <f>G9+I9+K9+M9+O9+Q9+S9</f>
        <v>22</v>
      </c>
      <c r="AI5" s="10">
        <f>F14+H14+J14+L14+N14+P14+R14</f>
        <v>0</v>
      </c>
      <c r="AJ5" s="10">
        <f>F18+H18+J18+L18+N18+P18+R18</f>
        <v>33</v>
      </c>
      <c r="AK5" s="375">
        <f t="shared" si="2"/>
        <v>2</v>
      </c>
      <c r="AL5" s="376"/>
      <c r="AM5" s="10">
        <f>AH3</f>
        <v>34</v>
      </c>
      <c r="AN5" s="10">
        <f>AI6</f>
        <v>0</v>
      </c>
      <c r="AO5" s="10">
        <f>AJ4</f>
        <v>19</v>
      </c>
      <c r="AP5" s="9">
        <f t="shared" si="3"/>
        <v>53</v>
      </c>
    </row>
    <row r="6" spans="2:47" ht="24" customHeight="1" thickBot="1">
      <c r="B6" s="201">
        <v>4</v>
      </c>
      <c r="C6" s="414" t="str">
        <f>IF(GROUPS!D12="","",GROUPS!D12)</f>
        <v/>
      </c>
      <c r="D6" s="414"/>
      <c r="E6" s="415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74" t="str">
        <f>IF(ISERROR(IF(AND(U10="",U14="",U17=""),"",SUM(AB6:AD6)+(N6-O6)/1000)+(AK6/10000)+(AG6/100000)),"",IF(AND(U10="",U14="",U17=""),"",SUM(AB6:AD6)+(N6-O6)/1000)+(AK6/10000)+(AG6/100000))</f>
        <v/>
      </c>
      <c r="S6" s="374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75">
        <f t="shared" si="2"/>
        <v>0</v>
      </c>
      <c r="AL6" s="376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9.5" thickBot="1">
      <c r="P7" s="127">
        <f>SUM(P3:P6)</f>
        <v>161</v>
      </c>
      <c r="Q7" s="127">
        <f>SUM(Q3:Q6)</f>
        <v>161</v>
      </c>
    </row>
    <row r="8" spans="2:47" ht="19.5" thickBot="1">
      <c r="B8" s="361" t="s">
        <v>7</v>
      </c>
      <c r="C8" s="366"/>
      <c r="D8" s="366"/>
      <c r="E8" s="362"/>
      <c r="F8" s="367" t="s">
        <v>8</v>
      </c>
      <c r="G8" s="368"/>
      <c r="H8" s="364" t="s">
        <v>9</v>
      </c>
      <c r="I8" s="368"/>
      <c r="J8" s="364" t="s">
        <v>10</v>
      </c>
      <c r="K8" s="368"/>
      <c r="L8" s="364" t="s">
        <v>11</v>
      </c>
      <c r="M8" s="368"/>
      <c r="N8" s="364" t="s">
        <v>12</v>
      </c>
      <c r="O8" s="368"/>
      <c r="P8" s="364" t="s">
        <v>13</v>
      </c>
      <c r="Q8" s="368"/>
      <c r="R8" s="364" t="s">
        <v>14</v>
      </c>
      <c r="S8" s="365"/>
      <c r="T8" s="361" t="s">
        <v>15</v>
      </c>
      <c r="U8" s="362"/>
      <c r="AB8" s="369">
        <v>1</v>
      </c>
      <c r="AC8" s="370"/>
      <c r="AD8" s="369">
        <v>2</v>
      </c>
      <c r="AE8" s="370"/>
      <c r="AF8" s="369">
        <v>3</v>
      </c>
      <c r="AG8" s="370"/>
      <c r="AH8" s="369">
        <v>4</v>
      </c>
      <c r="AI8" s="370"/>
      <c r="AJ8" s="369">
        <v>5</v>
      </c>
      <c r="AK8" s="370"/>
      <c r="AL8" s="369">
        <v>6</v>
      </c>
      <c r="AM8" s="370"/>
      <c r="AN8" s="369">
        <v>7</v>
      </c>
      <c r="AO8" s="370"/>
    </row>
    <row r="9" spans="2:47">
      <c r="B9" s="128">
        <v>1</v>
      </c>
      <c r="C9" s="129" t="str">
        <f>IF(C3="","",VLOOKUP(B9,$B$3:$E$6,2,FALSE))</f>
        <v>Александар Јакимовски (178)</v>
      </c>
      <c r="D9" s="130">
        <v>3</v>
      </c>
      <c r="E9" s="131" t="str">
        <f>IF(C5="","",VLOOKUP(D9,$B$3:$E$6,2,FALSE))</f>
        <v>Славчо Спасеноски  (278)</v>
      </c>
      <c r="F9" s="132">
        <v>11</v>
      </c>
      <c r="G9" s="133">
        <v>4</v>
      </c>
      <c r="H9" s="134">
        <v>12</v>
      </c>
      <c r="I9" s="133">
        <v>10</v>
      </c>
      <c r="J9" s="132">
        <v>11</v>
      </c>
      <c r="K9" s="135">
        <v>8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9.5" thickBot="1">
      <c r="B10" s="138">
        <v>2</v>
      </c>
      <c r="C10" s="139" t="str">
        <f>IF(C4="","",VLOOKUP(B10,$B$3:$E$6,2,FALSE))</f>
        <v>Боро Варошлија (85)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9.5" thickBot="1">
      <c r="F11" s="14"/>
      <c r="G11" s="14"/>
      <c r="H11" s="14"/>
    </row>
    <row r="12" spans="2:47" ht="19.5" thickBot="1">
      <c r="B12" s="361" t="s">
        <v>16</v>
      </c>
      <c r="C12" s="366"/>
      <c r="D12" s="366"/>
      <c r="E12" s="362"/>
      <c r="F12" s="367" t="s">
        <v>8</v>
      </c>
      <c r="G12" s="368"/>
      <c r="H12" s="364" t="s">
        <v>9</v>
      </c>
      <c r="I12" s="368"/>
      <c r="J12" s="364" t="s">
        <v>10</v>
      </c>
      <c r="K12" s="368"/>
      <c r="L12" s="364" t="s">
        <v>11</v>
      </c>
      <c r="M12" s="368"/>
      <c r="N12" s="364" t="s">
        <v>12</v>
      </c>
      <c r="O12" s="368"/>
      <c r="P12" s="364" t="s">
        <v>13</v>
      </c>
      <c r="Q12" s="368"/>
      <c r="R12" s="364" t="s">
        <v>14</v>
      </c>
      <c r="S12" s="365"/>
      <c r="T12" s="361" t="s">
        <v>15</v>
      </c>
      <c r="U12" s="362"/>
      <c r="AU12" s="150"/>
    </row>
    <row r="13" spans="2:47">
      <c r="B13" s="128">
        <v>1</v>
      </c>
      <c r="C13" s="148" t="str">
        <f>IF(C3="","",VLOOKUP(B13,$B$3:$E$6,2,FALSE))</f>
        <v>Александар Јакимовски (178)</v>
      </c>
      <c r="D13" s="130">
        <v>2</v>
      </c>
      <c r="E13" s="131" t="str">
        <f>IF(C4="","",VLOOKUP(D13,$B$3:$E$6,2,FALSE))</f>
        <v>Боро Варошлија (85)</v>
      </c>
      <c r="F13" s="132">
        <v>11</v>
      </c>
      <c r="G13" s="133">
        <v>5</v>
      </c>
      <c r="H13" s="134">
        <v>11</v>
      </c>
      <c r="I13" s="133">
        <v>2</v>
      </c>
      <c r="J13" s="132">
        <v>13</v>
      </c>
      <c r="K13" s="135">
        <v>11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9.5" thickBot="1">
      <c r="B14" s="138">
        <v>3</v>
      </c>
      <c r="C14" s="149" t="str">
        <f>IF(C3="","",VLOOKUP(B14,$B$3:$E$6,2,FALSE))</f>
        <v>Славчо Спасеноски  (278)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9.5" thickBot="1"/>
    <row r="16" spans="2:47" ht="19.5" thickBot="1">
      <c r="B16" s="361" t="s">
        <v>17</v>
      </c>
      <c r="C16" s="366"/>
      <c r="D16" s="366"/>
      <c r="E16" s="362"/>
      <c r="F16" s="367" t="s">
        <v>8</v>
      </c>
      <c r="G16" s="368"/>
      <c r="H16" s="364" t="s">
        <v>9</v>
      </c>
      <c r="I16" s="368"/>
      <c r="J16" s="364" t="s">
        <v>10</v>
      </c>
      <c r="K16" s="368"/>
      <c r="L16" s="364" t="s">
        <v>11</v>
      </c>
      <c r="M16" s="368"/>
      <c r="N16" s="364" t="s">
        <v>12</v>
      </c>
      <c r="O16" s="368"/>
      <c r="P16" s="364" t="s">
        <v>13</v>
      </c>
      <c r="Q16" s="368"/>
      <c r="R16" s="364" t="s">
        <v>14</v>
      </c>
      <c r="S16" s="365"/>
      <c r="T16" s="361" t="s">
        <v>15</v>
      </c>
      <c r="U16" s="362"/>
    </row>
    <row r="17" spans="2:41">
      <c r="B17" s="128">
        <v>1</v>
      </c>
      <c r="C17" s="129" t="str">
        <f>IF(C3="","",VLOOKUP(B17,$B$3:$E$6,2,FALSE))</f>
        <v>Александар Јакимовски (178)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9.5" thickBot="1">
      <c r="B18" s="138">
        <v>3</v>
      </c>
      <c r="C18" s="139" t="str">
        <f>IF(C5="","",VLOOKUP(B18,$B$3:$E$6,2,FALSE))</f>
        <v>Славчо Спасеноски  (278)</v>
      </c>
      <c r="D18" s="140">
        <v>2</v>
      </c>
      <c r="E18" s="141" t="str">
        <f>IF(C4="","",VLOOKUP(D18,$B$3:$E$6,2,FALSE))</f>
        <v>Боро Варошлија (85)</v>
      </c>
      <c r="F18" s="142">
        <v>11</v>
      </c>
      <c r="G18" s="143">
        <v>6</v>
      </c>
      <c r="H18" s="144">
        <v>11</v>
      </c>
      <c r="I18" s="143">
        <v>6</v>
      </c>
      <c r="J18" s="142">
        <v>11</v>
      </c>
      <c r="K18" s="145">
        <v>7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0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1</v>
      </c>
      <c r="AG18" s="10">
        <f>IF(K18="","",IF(K18&gt;J18,1,0))</f>
        <v>0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3"/>
      <c r="T21" s="363"/>
      <c r="U21" s="363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2024-03-16T18:56:36Z</dcterms:modified>
</cp:coreProperties>
</file>