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6B16E2AB-F2E2-4D15-A231-C09F6FDD3E69}" xr6:coauthVersionLast="47" xr6:coauthVersionMax="47" xr10:uidLastSave="{00000000-0000-0000-0000-000000000000}"/>
  <bookViews>
    <workbookView xWindow="-108" yWindow="-108" windowWidth="23256" windowHeight="12576" tabRatio="926" activeTab="23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18" i="19"/>
  <c r="J6" i="19"/>
  <c r="J3" i="19"/>
  <c r="J35" i="19"/>
  <c r="J21" i="19"/>
  <c r="J20" i="19"/>
  <c r="J23" i="19"/>
  <c r="J15" i="19"/>
  <c r="J33" i="19"/>
  <c r="J29" i="19"/>
  <c r="J34" i="19"/>
  <c r="J8" i="19"/>
  <c r="J10" i="19"/>
  <c r="J19" i="19"/>
  <c r="J28" i="19"/>
  <c r="J22" i="19"/>
  <c r="I32" i="19"/>
  <c r="I18" i="19"/>
  <c r="I6" i="19"/>
  <c r="I3" i="19"/>
  <c r="I35" i="19"/>
  <c r="I21" i="19"/>
  <c r="I20" i="19"/>
  <c r="I23" i="19"/>
  <c r="I15" i="19"/>
  <c r="I33" i="19"/>
  <c r="I29" i="19"/>
  <c r="I34" i="19"/>
  <c r="I8" i="19"/>
  <c r="I10" i="19"/>
  <c r="I19" i="19"/>
  <c r="I28" i="19"/>
  <c r="I22" i="19"/>
  <c r="I11" i="19"/>
  <c r="I24" i="19"/>
  <c r="I36" i="19"/>
  <c r="I31" i="19"/>
  <c r="I5" i="19"/>
  <c r="I30" i="19"/>
  <c r="J11" i="19"/>
  <c r="J24" i="19"/>
  <c r="J36" i="19"/>
  <c r="J31" i="19"/>
  <c r="J5" i="19"/>
  <c r="J30" i="19"/>
  <c r="M22" i="19" l="1"/>
  <c r="K22" i="19"/>
  <c r="M28" i="19"/>
  <c r="K28" i="19"/>
  <c r="M19" i="19"/>
  <c r="K19" i="19"/>
  <c r="M10" i="19"/>
  <c r="K10" i="19"/>
  <c r="M8" i="19"/>
  <c r="K8" i="19"/>
  <c r="M34" i="19"/>
  <c r="K34" i="19"/>
  <c r="M29" i="19"/>
  <c r="K29" i="19"/>
  <c r="M33" i="19"/>
  <c r="K33" i="19"/>
  <c r="M15" i="19"/>
  <c r="K15" i="19"/>
  <c r="M23" i="19"/>
  <c r="K23" i="19"/>
  <c r="M20" i="19"/>
  <c r="K20" i="19"/>
  <c r="K21" i="19"/>
  <c r="K35" i="19"/>
  <c r="M3" i="19"/>
  <c r="K3" i="19"/>
  <c r="M6" i="19"/>
  <c r="K6" i="19"/>
  <c r="M35" i="19"/>
  <c r="M18" i="19"/>
  <c r="K18" i="19"/>
  <c r="M32" i="19"/>
  <c r="K32" i="19"/>
  <c r="K11" i="19" l="1"/>
  <c r="K24" i="19"/>
  <c r="K36" i="19"/>
  <c r="K31" i="19"/>
  <c r="K5" i="19"/>
  <c r="K30" i="19"/>
  <c r="K27" i="19"/>
  <c r="K13" i="19"/>
  <c r="K9" i="19"/>
  <c r="K4" i="19"/>
  <c r="K14" i="19"/>
  <c r="K25" i="19"/>
  <c r="K26" i="19"/>
  <c r="K17" i="19"/>
  <c r="K7" i="19"/>
  <c r="K12" i="19"/>
  <c r="K1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7" i="19"/>
  <c r="J13" i="19"/>
  <c r="J9" i="19"/>
  <c r="J4" i="19"/>
  <c r="J14" i="19"/>
  <c r="J25" i="19"/>
  <c r="J26" i="19"/>
  <c r="J17" i="19"/>
  <c r="M21" i="19" s="1"/>
  <c r="J7" i="19"/>
  <c r="J12" i="19"/>
  <c r="J1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7" i="19"/>
  <c r="I13" i="19"/>
  <c r="I9" i="19"/>
  <c r="I4" i="19"/>
  <c r="I14" i="19"/>
  <c r="I25" i="19"/>
  <c r="I26" i="19"/>
  <c r="I17" i="19"/>
  <c r="I7" i="19"/>
  <c r="I12" i="19"/>
  <c r="I1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R6" i="43"/>
  <c r="R6" i="42"/>
  <c r="AP6" i="39"/>
  <c r="Q7" i="44"/>
  <c r="AG4" i="40"/>
  <c r="AG4" i="41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R6" i="40" s="1"/>
  <c r="AK3" i="41"/>
  <c r="R3" i="41" s="1"/>
  <c r="P7" i="40"/>
  <c r="R6" i="4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O4" i="9" s="1"/>
  <c r="AJ6" i="9"/>
  <c r="AO3" i="9" s="1"/>
  <c r="AI6" i="9"/>
  <c r="AN5" i="9" s="1"/>
  <c r="AH6" i="9"/>
  <c r="K6" i="9"/>
  <c r="J6" i="9"/>
  <c r="I6" i="9"/>
  <c r="H6" i="9"/>
  <c r="AC6" i="9" s="1"/>
  <c r="G6" i="9"/>
  <c r="O6" i="9" s="1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8" l="1"/>
  <c r="AB4" i="8"/>
  <c r="AC3" i="8"/>
  <c r="AD6" i="10"/>
  <c r="AB3" i="10"/>
  <c r="O3" i="10"/>
  <c r="N3" i="10"/>
  <c r="AC3" i="10"/>
  <c r="AB6" i="10"/>
  <c r="AD3" i="10"/>
  <c r="AC5" i="9"/>
  <c r="AD6" i="5"/>
  <c r="AD5" i="9"/>
  <c r="AD6" i="9"/>
  <c r="AB6" i="9"/>
  <c r="AB6" i="8"/>
  <c r="AD3" i="8"/>
  <c r="AB3" i="24"/>
  <c r="R5" i="38"/>
  <c r="AG5" i="10"/>
  <c r="P5" i="10" s="1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P4" i="10" s="1"/>
  <c r="AO4" i="10"/>
  <c r="AP4" i="10" s="1"/>
  <c r="Q4" i="10" s="1"/>
  <c r="AK6" i="9"/>
  <c r="AP5" i="9"/>
  <c r="Q5" i="9" s="1"/>
  <c r="AP3" i="9"/>
  <c r="AG5" i="9"/>
  <c r="P5" i="9" s="1"/>
  <c r="AG5" i="8"/>
  <c r="P5" i="8" s="1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AC4" i="10" s="1"/>
  <c r="G5" i="10"/>
  <c r="AB5" i="10" s="1"/>
  <c r="AG6" i="10"/>
  <c r="AN3" i="10"/>
  <c r="L4" i="10"/>
  <c r="AD4" i="10" s="1"/>
  <c r="H5" i="10"/>
  <c r="AC5" i="10" s="1"/>
  <c r="AO3" i="10"/>
  <c r="AG3" i="10"/>
  <c r="P3" i="10" s="1"/>
  <c r="N4" i="10"/>
  <c r="I6" i="10"/>
  <c r="AC6" i="10" s="1"/>
  <c r="AG4" i="8"/>
  <c r="AG4" i="9"/>
  <c r="P4" i="9" s="1"/>
  <c r="Q3" i="9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P6" i="9" s="1"/>
  <c r="H3" i="9"/>
  <c r="N3" i="9" s="1"/>
  <c r="AG3" i="9"/>
  <c r="N4" i="9"/>
  <c r="AK5" i="9"/>
  <c r="AM4" i="9"/>
  <c r="P3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10" l="1"/>
  <c r="N5" i="10"/>
  <c r="O6" i="10"/>
  <c r="R6" i="10" s="1"/>
  <c r="O5" i="10"/>
  <c r="P6" i="10"/>
  <c r="P7" i="10" s="1"/>
  <c r="O3" i="9"/>
  <c r="AB5" i="9"/>
  <c r="N5" i="9"/>
  <c r="O5" i="8"/>
  <c r="N4" i="8"/>
  <c r="O6" i="8"/>
  <c r="O4" i="24"/>
  <c r="R5" i="9"/>
  <c r="AK4" i="10"/>
  <c r="R4" i="10" s="1"/>
  <c r="R6" i="9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AD5" i="10"/>
  <c r="AP3" i="10"/>
  <c r="Q3" i="10" s="1"/>
  <c r="Q7" i="10" s="1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6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8" l="1"/>
  <c r="R5" i="10"/>
  <c r="Q7" i="8"/>
  <c r="R4" i="8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1" i="19"/>
  <c r="M24" i="19"/>
  <c r="M36" i="19"/>
  <c r="M31" i="19"/>
  <c r="M5" i="19"/>
  <c r="M30" i="19"/>
  <c r="M27" i="19"/>
  <c r="M13" i="19"/>
  <c r="M9" i="19"/>
  <c r="M4" i="19"/>
  <c r="M14" i="19"/>
  <c r="M25" i="19"/>
  <c r="M26" i="19"/>
  <c r="M17" i="19"/>
  <c r="M7" i="19"/>
  <c r="M12" i="19"/>
  <c r="M1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P47" i="25" l="1"/>
  <c r="P46" i="25"/>
  <c r="Z44" i="25"/>
  <c r="Z43" i="25"/>
  <c r="P41" i="25"/>
  <c r="P40" i="25"/>
  <c r="AJ38" i="25"/>
  <c r="AJ37" i="25"/>
  <c r="AU35" i="25"/>
  <c r="P35" i="25"/>
  <c r="AU34" i="25"/>
  <c r="AX30" i="25" s="1"/>
  <c r="P34" i="25"/>
  <c r="Z32" i="25"/>
  <c r="Z31" i="25"/>
  <c r="P29" i="25"/>
  <c r="P28" i="25"/>
  <c r="AU26" i="25"/>
  <c r="AU25" i="25"/>
  <c r="P23" i="25"/>
  <c r="P22" i="25"/>
  <c r="Z20" i="25"/>
  <c r="Z19" i="25"/>
  <c r="P17" i="25"/>
  <c r="P16" i="25"/>
  <c r="AJ14" i="25"/>
  <c r="AJ13" i="25"/>
  <c r="P11" i="25"/>
  <c r="P10" i="25"/>
  <c r="Z8" i="25"/>
  <c r="Z7" i="25"/>
  <c r="P5" i="25"/>
  <c r="P4" i="25"/>
  <c r="AJ43" i="22"/>
  <c r="AM34" i="25" l="1"/>
  <c r="AW31" i="25"/>
  <c r="AX31" i="25"/>
  <c r="AZ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H4" i="25" s="1"/>
  <c r="R7" i="25" s="1"/>
  <c r="AY32" i="25" s="1"/>
  <c r="D4" i="21"/>
  <c r="D4" i="22"/>
  <c r="D3" i="22"/>
  <c r="D3" i="21"/>
  <c r="G3" i="21" s="1"/>
  <c r="D4" i="25"/>
  <c r="H5" i="25" s="1"/>
  <c r="AY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H17" i="25" s="1"/>
  <c r="AY38" i="25" s="1"/>
  <c r="D10" i="26"/>
  <c r="D10" i="22"/>
  <c r="D10" i="25"/>
  <c r="H23" i="25" s="1"/>
  <c r="AY39" i="25" s="1"/>
  <c r="D7" i="26"/>
  <c r="D7" i="25"/>
  <c r="H16" i="25" s="1"/>
  <c r="R19" i="25" s="1"/>
  <c r="AY33" i="25" s="1"/>
  <c r="D9" i="26"/>
  <c r="D9" i="25"/>
  <c r="H22" i="25" s="1"/>
  <c r="R20" i="25" s="1"/>
  <c r="AB14" i="25" s="1"/>
  <c r="AY31" i="25" s="1"/>
  <c r="D9" i="22"/>
  <c r="D13" i="26"/>
  <c r="D13" i="25"/>
  <c r="H34" i="25" s="1"/>
  <c r="R32" i="25" s="1"/>
  <c r="AB37" i="25" s="1"/>
  <c r="AM26" i="25" s="1"/>
  <c r="AY28" i="25" s="1"/>
  <c r="D13" i="22"/>
  <c r="D14" i="26"/>
  <c r="D14" i="25"/>
  <c r="H35" i="25" s="1"/>
  <c r="AY41" i="25" s="1"/>
  <c r="D14" i="22"/>
  <c r="D17" i="25"/>
  <c r="H46" i="25" s="1"/>
  <c r="R44" i="25" s="1"/>
  <c r="AY35" i="25" s="1"/>
  <c r="D18" i="22"/>
  <c r="D18" i="25"/>
  <c r="D15" i="25"/>
  <c r="H40" i="25" s="1"/>
  <c r="R43" i="25" s="1"/>
  <c r="AB38" i="25" s="1"/>
  <c r="AM35" i="25" s="1"/>
  <c r="D15" i="22"/>
  <c r="D16" i="22"/>
  <c r="D16" i="25"/>
  <c r="H41" i="25" s="1"/>
  <c r="AY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H10" i="25" s="1"/>
  <c r="R8" i="25" s="1"/>
  <c r="AB13" i="25" s="1"/>
  <c r="AM25" i="25" s="1"/>
  <c r="AX16" i="25" s="1"/>
  <c r="D5" i="22"/>
  <c r="H6" i="22" s="1"/>
  <c r="R5" i="22" s="1"/>
  <c r="BI36" i="22" s="1"/>
  <c r="D11" i="26"/>
  <c r="D11" i="25"/>
  <c r="H28" i="25" s="1"/>
  <c r="R31" i="25" s="1"/>
  <c r="AY34" i="25" s="1"/>
  <c r="D11" i="22"/>
  <c r="H17" i="22" s="1"/>
  <c r="D12" i="26"/>
  <c r="D12" i="22"/>
  <c r="H18" i="22" s="1"/>
  <c r="D12" i="25"/>
  <c r="H29" i="25" s="1"/>
  <c r="AY40" i="25" s="1"/>
  <c r="BJ19" i="22"/>
  <c r="D6" i="22"/>
  <c r="H9" i="22" s="1"/>
  <c r="D6" i="26"/>
  <c r="D6" i="25"/>
  <c r="H11" i="25" s="1"/>
  <c r="AY37" i="25" s="1"/>
  <c r="AY30" i="25"/>
  <c r="AZ16" i="25"/>
  <c r="AY15" i="25"/>
  <c r="H11" i="26" l="1"/>
  <c r="R8" i="26" s="1"/>
  <c r="H35" i="26"/>
  <c r="H18" i="26"/>
  <c r="R19" i="26" s="1"/>
  <c r="AB37" i="26"/>
  <c r="H47" i="26"/>
  <c r="R44" i="26" s="1"/>
  <c r="AB38" i="26" s="1"/>
  <c r="H47" i="25"/>
  <c r="AY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Y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<sst xmlns="http://schemas.openxmlformats.org/spreadsheetml/2006/main" count="3069" uniqueCount="921">
  <si>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</si>
  <si>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</si>
  <si>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</si>
  <si>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</si>
  <si>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</si>
  <si>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</si>
  <si>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</si>
  <si>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</si>
  <si>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</si>
  <si>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</si>
  <si>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</si>
  <si>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</si>
  <si>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</si>
  <si>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</si>
  <si>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</si>
  <si>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</si>
  <si>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</si>
  <si>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</si>
  <si>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</si>
  <si>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</si>
  <si>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</si>
  <si>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</si>
  <si>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</si>
  <si>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</si>
  <si>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</si>
  <si>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</si>
  <si>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</si>
  <si>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</si>
  <si>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</si>
  <si>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</si>
  <si>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</si>
  <si>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</si>
  <si>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</si>
  <si>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</si>
  <si>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</si>
  <si>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</si>
  <si>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</si>
  <si>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</si>
  <si>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</si>
  <si>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</si>
  <si>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</si>
  <si>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</si>
  <si>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</si>
  <si>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</si>
  <si>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</si>
  <si>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</si>
  <si>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</si>
  <si>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</si>
  <si>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</si>
  <si>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</si>
  <si>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</si>
  <si>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</si>
  <si>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</si>
  <si>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</si>
  <si>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</si>
  <si>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</si>
  <si>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</si>
  <si>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</si>
  <si>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</si>
  <si>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</si>
  <si>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</si>
  <si>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</si>
  <si>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</si>
  <si>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</si>
  <si>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</si>
  <si>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</si>
  <si>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</si>
  <si>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</si>
  <si>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</si>
  <si>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</si>
  <si>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</si>
  <si>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</si>
  <si>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</si>
  <si>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</si>
  <si>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</si>
  <si>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</si>
  <si>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</si>
  <si>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</si>
  <si>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</si>
  <si>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</si>
  <si>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</si>
  <si>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</si>
  <si>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</si>
  <si>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</si>
  <si>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</si>
  <si>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</si>
  <si>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</si>
  <si>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</si>
  <si>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</si>
  <si>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</si>
  <si>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</si>
  <si>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</si>
  <si>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</si>
  <si>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</si>
  <si>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</si>
  <si>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</si>
  <si>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</si>
  <si>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</si>
  <si>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</si>
  <si>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</si>
  <si>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</si>
  <si>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</si>
  <si>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</si>
  <si>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</si>
  <si>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</si>
  <si>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</si>
  <si>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</si>
  <si>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</si>
  <si>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</si>
  <si>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</si>
  <si>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</si>
  <si>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</si>
  <si>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</si>
  <si>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</si>
  <si>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</si>
  <si>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</si>
  <si>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</si>
  <si>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</si>
  <si>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</si>
  <si>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</si>
  <si>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</si>
  <si>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</si>
  <si>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</si>
  <si>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</si>
  <si>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</si>
  <si>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</si>
  <si>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</si>
  <si>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</si>
  <si>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</si>
  <si>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</si>
  <si>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</si>
  <si>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</si>
  <si>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</si>
  <si>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</si>
  <si>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</si>
  <si>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</si>
  <si>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</si>
  <si>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</si>
  <si>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</si>
  <si>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</si>
  <si>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</si>
  <si>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</si>
  <si>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</si>
  <si>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</si>
  <si>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</si>
  <si>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</si>
  <si>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</si>
  <si>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</si>
  <si>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</si>
  <si>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</si>
  <si>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</si>
  <si>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</si>
  <si>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</si>
  <si>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</si>
  <si>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</si>
  <si>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</si>
  <si>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</si>
  <si>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</si>
  <si>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</si>
  <si>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</si>
  <si>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</si>
  <si>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</si>
  <si>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</si>
  <si>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</si>
  <si>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</si>
  <si>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</si>
  <si>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</si>
  <si>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</si>
  <si>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</si>
  <si>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</si>
  <si>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</si>
  <si>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</si>
  <si>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</si>
  <si>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</si>
  <si>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</si>
  <si>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</si>
  <si>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</si>
  <si>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</si>
  <si>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</si>
  <si>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</si>
  <si>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</si>
  <si>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</si>
  <si>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</si>
  <si>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</si>
  <si>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</si>
  <si>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</si>
  <si>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</si>
  <si>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</si>
  <si>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</si>
  <si>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</si>
  <si>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</si>
  <si>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</si>
  <si>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</si>
  <si>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</si>
  <si>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</si>
  <si>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</si>
  <si>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</si>
  <si>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</si>
  <si>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</si>
  <si>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</si>
  <si>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</si>
  <si>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</si>
  <si>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</si>
  <si>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</si>
  <si>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</si>
  <si>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</si>
  <si>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</si>
  <si>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</si>
  <si>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</si>
  <si>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</si>
  <si>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</si>
  <si>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</si>
  <si>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</si>
  <si>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</si>
  <si>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</si>
  <si>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</si>
  <si>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</si>
  <si>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</si>
  <si>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</si>
  <si>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</si>
  <si>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</si>
  <si>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</si>
  <si>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</si>
  <si>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</si>
  <si>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</si>
  <si>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</si>
  <si>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</si>
  <si>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</si>
  <si>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</si>
  <si>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</si>
  <si>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</si>
  <si>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</si>
  <si>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</si>
  <si>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</si>
  <si>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</si>
  <si>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</si>
  <si>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</si>
  <si>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</si>
  <si>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</si>
  <si>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</si>
  <si>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</si>
  <si>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</si>
  <si>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</si>
  <si>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</si>
  <si>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</si>
  <si>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</si>
  <si>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</si>
  <si>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</si>
  <si>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</si>
  <si>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</si>
  <si>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</si>
  <si>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</si>
  <si>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</si>
  <si>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</si>
  <si>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</si>
  <si>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</si>
  <si>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</si>
  <si>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</si>
  <si>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</si>
  <si>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</si>
  <si>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</si>
  <si>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</si>
  <si>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</si>
  <si>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</si>
  <si>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</si>
  <si>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</si>
  <si>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</si>
  <si>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</si>
  <si>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</si>
  <si>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</si>
  <si>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</si>
  <si>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</si>
  <si>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</si>
  <si>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</si>
  <si>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</si>
  <si>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</si>
  <si>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</si>
  <si>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</si>
  <si>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</si>
  <si>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</si>
  <si>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</si>
  <si>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</si>
  <si>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</si>
  <si>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</si>
  <si>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</si>
  <si>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</si>
  <si>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</si>
  <si>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</si>
  <si>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</si>
  <si>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</si>
  <si>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</si>
  <si>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</si>
  <si>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</si>
  <si>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</si>
  <si>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</si>
  <si>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</si>
  <si>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</si>
  <si>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</si>
  <si>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</si>
  <si>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</si>
  <si>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</si>
  <si>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</si>
  <si>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</si>
  <si>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</si>
  <si>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</si>
  <si>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</si>
  <si>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</si>
  <si>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</si>
  <si>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</si>
  <si>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</si>
  <si>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</si>
  <si>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</si>
  <si>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</si>
  <si>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</si>
  <si>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</si>
  <si>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</si>
  <si>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</si>
  <si>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</si>
  <si>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</si>
  <si>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</si>
  <si>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</si>
  <si>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</si>
  <si>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</si>
  <si>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</si>
  <si>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</si>
  <si>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</si>
  <si>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</si>
  <si>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</si>
  <si>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</si>
  <si>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</si>
  <si>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</si>
  <si>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</si>
  <si>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</si>
  <si>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</si>
  <si>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</si>
  <si>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</si>
  <si>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</si>
  <si>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</si>
  <si>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</si>
  <si>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</si>
  <si>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</si>
  <si>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</si>
  <si>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</si>
  <si>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</si>
  <si>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</si>
  <si>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</si>
  <si>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</si>
  <si>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</si>
  <si>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</si>
  <si>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</si>
  <si>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</si>
  <si>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</si>
  <si>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</si>
  <si>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</si>
  <si>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</si>
  <si>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</si>
  <si>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</si>
  <si>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</si>
  <si>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</si>
  <si>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</si>
  <si>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</si>
  <si>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</si>
  <si>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</si>
  <si>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</si>
  <si>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</si>
  <si>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</si>
  <si>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</si>
  <si>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</si>
  <si>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</si>
  <si>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</si>
  <si>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</si>
  <si>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</si>
  <si>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</si>
  <si>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</si>
  <si>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</si>
  <si>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</si>
  <si>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</si>
  <si>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</si>
  <si>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</si>
  <si>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</si>
  <si>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</si>
  <si>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</si>
  <si>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</si>
  <si>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</si>
  <si>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</si>
  <si>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</si>
  <si>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</si>
  <si>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</si>
  <si>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</si>
  <si>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</si>
  <si>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</si>
  <si>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</si>
  <si>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</si>
  <si>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</si>
  <si>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</si>
  <si>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</si>
  <si>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</si>
  <si>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</si>
  <si>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</si>
  <si>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</si>
  <si>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</si>
  <si>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</si>
  <si>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</si>
  <si>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</si>
  <si>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</si>
  <si>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</si>
  <si>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</si>
  <si>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</si>
  <si>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</si>
  <si>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</si>
  <si>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</si>
  <si>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</si>
  <si>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</si>
  <si>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</si>
  <si>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</si>
  <si>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</si>
  <si>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</si>
  <si>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</si>
  <si>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</si>
  <si>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</si>
  <si>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</si>
  <si>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</si>
  <si>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</si>
  <si>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</si>
  <si>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</si>
  <si>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</si>
  <si>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</si>
  <si>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</si>
  <si>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</si>
  <si>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</si>
  <si>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</si>
  <si>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</si>
  <si>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</si>
  <si>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</si>
  <si>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</si>
  <si>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</si>
  <si>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</si>
  <si>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</si>
  <si>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</si>
  <si>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</si>
  <si>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</si>
  <si>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</si>
  <si>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</si>
  <si>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</si>
  <si>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</si>
  <si>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</si>
  <si>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</si>
  <si>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</si>
  <si>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</si>
  <si>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</si>
  <si>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</si>
  <si>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</si>
  <si>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</si>
  <si>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</si>
  <si>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</si>
  <si>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</si>
  <si>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</si>
  <si>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</si>
  <si>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</si>
  <si>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</si>
  <si>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</si>
  <si>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</si>
  <si>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</si>
  <si>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</si>
  <si>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</si>
  <si>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</si>
  <si>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</si>
  <si>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</si>
  <si>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</si>
  <si>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</si>
  <si>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</si>
  <si>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</si>
  <si>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</si>
  <si>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</si>
  <si>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</si>
  <si>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</si>
  <si>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</si>
  <si>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</si>
  <si>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</si>
  <si>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</si>
  <si>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</si>
  <si>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</si>
  <si>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</si>
  <si>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</si>
  <si>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</si>
  <si>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</si>
  <si>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</si>
  <si>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</si>
  <si>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</si>
  <si>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</si>
  <si>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</si>
  <si>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</si>
  <si>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</si>
  <si>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</si>
  <si>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</si>
  <si>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</si>
  <si>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</si>
  <si>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</si>
  <si>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</si>
  <si>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</si>
  <si>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</si>
  <si>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</si>
  <si>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</si>
  <si>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</si>
  <si>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</si>
  <si>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</si>
  <si>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</si>
  <si>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</si>
  <si>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</si>
  <si>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</si>
  <si>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</si>
  <si>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</si>
  <si>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</si>
  <si>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</si>
  <si>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</si>
  <si>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</si>
  <si>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</si>
  <si>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</si>
  <si>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</si>
  <si>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</si>
  <si>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</si>
  <si>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</si>
  <si>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</si>
  <si>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</si>
  <si>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</si>
  <si>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</si>
  <si>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</si>
  <si>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</si>
  <si>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</si>
  <si>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</si>
  <si>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</si>
  <si>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</si>
  <si>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</si>
  <si>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</si>
  <si>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</si>
  <si>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</si>
  <si>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</si>
  <si>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</si>
  <si>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</si>
  <si>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</si>
  <si>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</si>
  <si>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</si>
  <si>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</si>
  <si>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</si>
  <si>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</si>
  <si>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</si>
  <si>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</si>
  <si>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</si>
  <si>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</si>
  <si>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</si>
  <si>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</si>
  <si>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</si>
  <si>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</si>
  <si>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</si>
  <si>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</si>
  <si>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</si>
  <si>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</si>
  <si>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</si>
  <si>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</si>
  <si>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</si>
  <si>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</si>
  <si>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</si>
  <si>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</si>
  <si>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</si>
  <si>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</si>
  <si>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</si>
  <si>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</si>
  <si>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</si>
  <si>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</si>
  <si>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</si>
  <si>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</si>
  <si>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</si>
  <si>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</si>
  <si>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</si>
  <si>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</si>
  <si>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</si>
  <si>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</si>
  <si>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</si>
  <si>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</si>
  <si>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</si>
  <si>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</si>
  <si>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</si>
  <si>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</si>
  <si>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</si>
  <si>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</si>
  <si>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</si>
  <si>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</si>
  <si>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</si>
  <si>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</si>
  <si>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</si>
  <si>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</si>
  <si>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</si>
  <si>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</si>
  <si>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</si>
  <si>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</si>
  <si>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</si>
  <si>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</si>
  <si>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</si>
  <si>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</si>
  <si>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</si>
  <si>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</si>
  <si>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</si>
  <si>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</si>
  <si>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</si>
  <si>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</si>
  <si>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</si>
  <si>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</si>
  <si>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</si>
  <si>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</si>
  <si>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</si>
  <si>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</si>
  <si>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</si>
  <si>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</si>
  <si>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</si>
  <si>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</si>
  <si>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</si>
  <si>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</si>
  <si>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</si>
  <si>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</si>
  <si>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</si>
  <si>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</si>
  <si>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</si>
  <si>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</si>
  <si>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</si>
  <si>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</si>
  <si>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</si>
  <si>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</si>
  <si>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</si>
  <si>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</si>
  <si>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</si>
  <si>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</si>
  <si>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</si>
  <si>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</si>
  <si>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</si>
  <si>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</si>
  <si>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</si>
  <si>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</si>
  <si>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</si>
  <si>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</si>
  <si>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</si>
  <si>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</si>
  <si>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</si>
  <si>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</si>
  <si>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</si>
  <si>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</si>
  <si>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</si>
  <si>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</si>
  <si>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</si>
  <si>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</si>
  <si>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</si>
  <si>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</si>
  <si>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</si>
  <si>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</si>
  <si>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</si>
  <si>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</si>
  <si>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</si>
  <si>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</si>
  <si>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</si>
  <si>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</si>
  <si>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</si>
  <si>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</si>
  <si>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</si>
  <si>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</si>
  <si>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</si>
  <si>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</si>
  <si>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</si>
  <si>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</si>
  <si>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</si>
  <si>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</si>
  <si>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</si>
  <si>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</si>
  <si>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</si>
  <si>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</si>
  <si>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</si>
  <si>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</si>
  <si>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</si>
  <si>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</si>
  <si>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</si>
  <si>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</si>
  <si>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</si>
  <si>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</si>
  <si>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</si>
  <si>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</si>
  <si>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</si>
  <si>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</si>
  <si>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</si>
  <si>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</si>
  <si>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</si>
  <si>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</si>
  <si>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</si>
  <si>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</si>
  <si>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</si>
  <si>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</si>
  <si>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</si>
  <si>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</si>
  <si>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</si>
  <si>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</si>
  <si>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</si>
  <si>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</si>
  <si>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</si>
  <si>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</si>
  <si>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</si>
  <si>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</si>
  <si>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</si>
  <si>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</si>
  <si>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</si>
  <si>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</si>
  <si>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</si>
  <si>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</si>
  <si>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</si>
  <si>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</si>
  <si>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</si>
  <si>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</si>
  <si>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</si>
  <si>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</si>
  <si>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</si>
  <si>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</si>
  <si>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</si>
  <si>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</si>
  <si>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</si>
  <si>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</si>
  <si>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</si>
  <si>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</si>
  <si>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</si>
  <si>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</si>
  <si>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</si>
  <si>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</si>
  <si>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</si>
  <si>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</si>
  <si>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</si>
  <si>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</si>
  <si>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</si>
  <si>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</si>
  <si>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</si>
  <si>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</si>
  <si>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</si>
  <si>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</si>
  <si>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</si>
  <si>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</si>
  <si>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</si>
  <si>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</si>
  <si>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</si>
  <si>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</si>
  <si>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</si>
  <si>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</si>
  <si>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</si>
  <si>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</si>
  <si>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</si>
  <si>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</si>
  <si>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</si>
  <si>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</si>
  <si>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</si>
  <si>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</si>
  <si>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</si>
  <si>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</si>
  <si>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</si>
  <si>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</si>
  <si>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</si>
  <si>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</si>
  <si>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</si>
  <si>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</si>
  <si>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</si>
  <si>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</si>
  <si>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</si>
  <si>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</si>
  <si>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</si>
  <si>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</si>
  <si>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</si>
  <si>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</si>
  <si>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</si>
  <si>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</si>
  <si>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</si>
  <si>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</si>
  <si>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</si>
  <si>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</si>
  <si>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</si>
  <si>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</si>
  <si>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</si>
  <si>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</si>
  <si>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</si>
  <si>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</si>
  <si>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</si>
  <si>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</si>
  <si>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</si>
  <si>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</si>
  <si>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</si>
  <si>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</si>
  <si>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</si>
  <si>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</si>
  <si>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</si>
  <si>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</si>
  <si>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</si>
  <si>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</si>
  <si>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</si>
  <si>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</si>
  <si>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</si>
  <si>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</si>
  <si>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</si>
  <si>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</si>
  <si>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</si>
  <si>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</si>
  <si>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</si>
  <si>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</si>
  <si>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</si>
  <si>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</si>
  <si>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</si>
  <si>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</si>
  <si>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</si>
  <si>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</si>
  <si>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</si>
  <si>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</si>
  <si>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</si>
  <si>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</si>
  <si>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</si>
  <si>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</si>
  <si>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</si>
  <si>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</si>
  <si>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</si>
  <si>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</si>
  <si>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</si>
  <si>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</si>
  <si>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</si>
  <si>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</si>
  <si>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</si>
  <si>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</si>
  <si>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</si>
  <si>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</si>
  <si>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</si>
  <si>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</si>
  <si>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</si>
  <si>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</si>
  <si>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</si>
  <si>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</si>
  <si>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</si>
  <si>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</si>
  <si>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</si>
  <si>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</si>
  <si>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</si>
  <si>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</si>
  <si>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</si>
  <si>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</si>
  <si>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</si>
  <si>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</si>
  <si>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</si>
  <si>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</si>
  <si>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</si>
  <si>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</si>
  <si>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</si>
  <si>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</si>
  <si>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</si>
  <si>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</si>
  <si>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</si>
  <si>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</si>
  <si>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</si>
  <si>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</si>
  <si>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</si>
  <si>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</si>
  <si>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</si>
  <si>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</si>
  <si>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</si>
  <si>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</si>
  <si>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</si>
  <si>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</si>
  <si>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</si>
  <si>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</si>
  <si>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</si>
  <si>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</si>
  <si>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</si>
  <si>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</si>
  <si>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</si>
  <si>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</si>
  <si>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</si>
  <si>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</si>
  <si>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</si>
  <si>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</si>
  <si>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</si>
  <si>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</si>
  <si>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</si>
  <si>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</si>
  <si>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</si>
  <si>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</si>
  <si>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</si>
  <si>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</si>
  <si>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</si>
  <si>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</si>
  <si>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</si>
  <si>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</si>
  <si>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</si>
  <si>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</si>
  <si>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</si>
  <si>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</si>
  <si>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</si>
  <si>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</si>
  <si>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</si>
  <si>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</si>
  <si>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</si>
  <si>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</si>
  <si>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</si>
  <si>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</si>
  <si>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</si>
  <si>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</si>
  <si>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</si>
  <si>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</si>
  <si>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</si>
  <si>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</si>
  <si>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</si>
  <si>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</si>
  <si>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</si>
  <si>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</si>
  <si>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</si>
  <si>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</si>
  <si>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</si>
  <si>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</si>
  <si>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</si>
  <si>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</si>
  <si>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</si>
  <si>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</si>
  <si>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</si>
  <si>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</si>
  <si>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Позиција на ждреб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</si>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</sst>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39" fillId="0" borderId="79" xfId="0" applyFont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ownloads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I35" sqref="I35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Лука Стојчев (73)</v>
      </c>
      <c r="E3" s="294" t="str">
        <f t="shared" ref="E3:E34" si="1">IF(D3="","",INDEX($J$3:$J$42,MATCH(C3,$G$3:$G$42,0)))</f>
        <v>Астраион</v>
      </c>
      <c r="F3" s="299">
        <v>8</v>
      </c>
      <c r="G3" s="348">
        <v>1</v>
      </c>
      <c r="H3" s="36">
        <v>73</v>
      </c>
      <c r="I3" s="252" t="str">
        <f>IF(ISERROR(VLOOKUP(H3,Baza!A:C,2,FALSE)&amp;" "&amp;"("&amp;H3&amp;")"),"",(VLOOKUP(H3,Baza!A:C,2,FALSE)&amp;" "&amp;"("&amp;H3&amp;")"))</f>
        <v>Лука Стојчев (73)</v>
      </c>
      <c r="J3" s="252" t="str">
        <f>IF(ISERROR(VLOOKUP(H3,Baza!A:C,3,FALSE)),"",(VLOOKUP(H3,Baza!A:C,3,FALSE)))</f>
        <v>Астраион</v>
      </c>
      <c r="K3" s="349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4</v>
      </c>
      <c r="O3" s="348">
        <v>846</v>
      </c>
      <c r="Q3" s="318"/>
    </row>
    <row r="4" spans="2:17">
      <c r="B4" s="352"/>
      <c r="C4" s="265">
        <v>2</v>
      </c>
      <c r="D4" s="287" t="str">
        <f t="shared" si="0"/>
        <v>Ѓорѓе Бораниев (365)</v>
      </c>
      <c r="E4" s="288" t="str">
        <f t="shared" si="1"/>
        <v>Радовиш</v>
      </c>
      <c r="F4" s="284">
        <v>27</v>
      </c>
      <c r="G4" s="243">
        <v>5</v>
      </c>
      <c r="H4" s="36">
        <v>70</v>
      </c>
      <c r="I4" s="252" t="str">
        <f>IF(ISERROR(VLOOKUP(H4,Baza!A:C,2,FALSE)&amp;" "&amp;"("&amp;H4&amp;")"),"",(VLOOKUP(H4,Baza!A:C,2,FALSE)&amp;" "&amp;"("&amp;H4&amp;")"))</f>
        <v>Филип Младеновски (70)</v>
      </c>
      <c r="J4" s="252" t="str">
        <f>IF(ISERROR(VLOOKUP(H4,Baza!A:C,3,FALSE)),"",(VLOOKUP(H4,Baza!A:C,3,FALSE)))</f>
        <v>Шампион ФА</v>
      </c>
      <c r="K4" s="311" t="str">
        <f>IF(ISERROR(VLOOKUP(H4,Baza!A:D,4,FALSE)),"",(VLOOKUP(H4,Baza!A:D,4,FALSE)))</f>
        <v>SEN</v>
      </c>
      <c r="M4" s="239" t="str">
        <f t="shared" si="2"/>
        <v>Пелагонија</v>
      </c>
      <c r="N4" s="239">
        <v>27</v>
      </c>
      <c r="O4" s="339">
        <v>670</v>
      </c>
      <c r="Q4" s="318"/>
    </row>
    <row r="5" spans="2:17">
      <c r="B5" s="352"/>
      <c r="C5" s="265">
        <v>3</v>
      </c>
      <c r="D5" s="287" t="str">
        <f t="shared" si="0"/>
        <v>Вања Спасиќ (448)</v>
      </c>
      <c r="E5" s="288" t="str">
        <f t="shared" si="1"/>
        <v>Дебар Маало</v>
      </c>
      <c r="F5" s="284">
        <v>22</v>
      </c>
      <c r="G5" s="243">
        <v>9</v>
      </c>
      <c r="H5" s="340">
        <v>49</v>
      </c>
      <c r="I5" s="252" t="str">
        <f>IF(ISERROR(VLOOKUP(H5,Baza!A:C,2,FALSE)&amp;" "&amp;"("&amp;H5&amp;")"),"",(VLOOKUP(H5,Baza!A:C,2,FALSE)&amp;" "&amp;"("&amp;H5&amp;")"))</f>
        <v>Венко Стојанов (49)</v>
      </c>
      <c r="J5" s="252" t="str">
        <f>IF(ISERROR(VLOOKUP(H5,Baza!A:C,3,FALSE)),"",(VLOOKUP(H5,Baza!A:C,3,FALSE)))</f>
        <v>Радовиш</v>
      </c>
      <c r="K5" s="311" t="str">
        <f>IF(ISERROR(VLOOKUP(H5,Baza!A:D,4,FALSE)),"",(VLOOKUP(H5,Baza!A:D,4,FALSE)))</f>
        <v>SEN</v>
      </c>
      <c r="M5" s="239" t="str">
        <f t="shared" si="2"/>
        <v>Вардар</v>
      </c>
      <c r="N5" s="239">
        <v>22</v>
      </c>
      <c r="O5" s="339">
        <v>492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3</v>
      </c>
      <c r="G6" s="330">
        <v>13</v>
      </c>
      <c r="H6" s="36">
        <v>10</v>
      </c>
      <c r="I6" s="252" t="str">
        <f>IF(ISERROR(VLOOKUP(H6,Baza!A:C,2,FALSE)&amp;" "&amp;"("&amp;H6&amp;")"),"",(VLOOKUP(H6,Baza!A:C,2,FALSE)&amp;" "&amp;"("&amp;H6&amp;")"))</f>
        <v>Кристијан Станојковски (10)</v>
      </c>
      <c r="J6" s="252" t="str">
        <f>IF(ISERROR(VLOOKUP(H6,Baza!A:C,3,FALSE)),"",(VLOOKUP(H6,Baza!A:C,3,FALSE)))</f>
        <v>Крива Паланка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18</v>
      </c>
      <c r="O6" s="330">
        <v>375</v>
      </c>
      <c r="Q6" s="318"/>
    </row>
    <row r="7" spans="2:17">
      <c r="B7" s="351" t="s">
        <v>63</v>
      </c>
      <c r="C7" s="264">
        <v>5</v>
      </c>
      <c r="D7" s="285" t="str">
        <f t="shared" si="0"/>
        <v>Филип Младеновски (70)</v>
      </c>
      <c r="E7" s="286" t="str">
        <f t="shared" si="1"/>
        <v>Шампион ФА</v>
      </c>
      <c r="F7" s="284">
        <v>32</v>
      </c>
      <c r="G7" s="243">
        <v>17</v>
      </c>
      <c r="H7" s="243">
        <v>2</v>
      </c>
      <c r="I7" s="252" t="str">
        <f>IF(ISERROR(VLOOKUP(H7,Baza!A:C,2,FALSE)&amp;" "&amp;"("&amp;H7&amp;")"),"",(VLOOKUP(H7,Baza!A:C,2,FALSE)&amp;" "&amp;"("&amp;H7&amp;")"))</f>
        <v>Христијан Јовановски  (2)</v>
      </c>
      <c r="J7" s="252" t="str">
        <f>IF(ISERROR(VLOOKUP(H7,Baza!A:C,3,FALSE)),"",(VLOOKUP(H7,Baza!A:C,3,FALSE)))</f>
        <v>Пелагонија</v>
      </c>
      <c r="K7" s="311" t="str">
        <f>IF(ISERROR(VLOOKUP(H7,Baza!A:D,4,FALSE)),"",(VLOOKUP(H7,Baza!A:D,4,FALSE)))</f>
        <v>SEN</v>
      </c>
      <c r="M7" s="239" t="e">
        <f t="shared" si="2"/>
        <v>#N/A</v>
      </c>
      <c r="N7" s="239">
        <v>32</v>
      </c>
      <c r="O7" s="339">
        <v>374</v>
      </c>
      <c r="Q7" s="318"/>
    </row>
    <row r="8" spans="2:17">
      <c r="B8" s="352"/>
      <c r="C8" s="265">
        <v>6</v>
      </c>
      <c r="D8" s="287" t="str">
        <f t="shared" si="0"/>
        <v>Сашо Стојановски (35)</v>
      </c>
      <c r="E8" s="288" t="str">
        <f t="shared" si="1"/>
        <v>10 60 АС Ѓорче Петров</v>
      </c>
      <c r="F8" s="284">
        <v>16</v>
      </c>
      <c r="G8" s="330">
        <v>21</v>
      </c>
      <c r="H8" s="36">
        <v>3</v>
      </c>
      <c r="I8" s="252" t="str">
        <f>IF(ISERROR(VLOOKUP(H8,Baza!A:C,2,FALSE)&amp;" "&amp;"("&amp;H8&amp;")"),"",(VLOOKUP(H8,Baza!A:C,2,FALSE)&amp;" "&amp;"("&amp;H8&amp;")"))</f>
        <v>Алeксандар Марковиќ (3)</v>
      </c>
      <c r="J8" s="252" t="str">
        <f>IF(ISERROR(VLOOKUP(H8,Baza!A:C,3,FALSE)),"",(VLOOKUP(H8,Baza!A:C,3,FALSE)))</f>
        <v>Вардар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10</v>
      </c>
      <c r="O8" s="330">
        <v>333</v>
      </c>
      <c r="Q8" s="318"/>
    </row>
    <row r="9" spans="2:17">
      <c r="B9" s="352"/>
      <c r="C9" s="265">
        <v>7</v>
      </c>
      <c r="D9" s="287" t="str">
        <f t="shared" si="0"/>
        <v>Борис Секулов (130)</v>
      </c>
      <c r="E9" s="288" t="str">
        <f t="shared" si="1"/>
        <v>Астраион</v>
      </c>
      <c r="F9" s="284">
        <v>26</v>
      </c>
      <c r="G9" s="243">
        <v>25</v>
      </c>
      <c r="H9" s="36">
        <v>47</v>
      </c>
      <c r="I9" s="252" t="str">
        <f>IF(ISERROR(VLOOKUP(H9,Baza!A:C,2,FALSE)&amp;" "&amp;"("&amp;H9&amp;")"),"",(VLOOKUP(H9,Baza!A:C,2,FALSE)&amp;" "&amp;"("&amp;H9&amp;")"))</f>
        <v>Андреј Стојановски (47)</v>
      </c>
      <c r="J9" s="252" t="str">
        <f>IF(ISERROR(VLOOKUP(H9,Baza!A:C,3,FALSE)),"",(VLOOKUP(H9,Baza!A:C,3,FALSE)))</f>
        <v>10 60 АС Ѓорче Петров</v>
      </c>
      <c r="K9" s="311" t="str">
        <f>IF(ISERROR(VLOOKUP(H9,Baza!A:D,4,FALSE)),"",(VLOOKUP(H9,Baza!A:D,4,FALSE)))</f>
        <v>U-15</v>
      </c>
      <c r="M9" s="239" t="str">
        <f t="shared" si="2"/>
        <v>Вардар</v>
      </c>
      <c r="N9" s="239">
        <v>26</v>
      </c>
      <c r="O9" s="339">
        <v>317</v>
      </c>
      <c r="Q9" s="318"/>
    </row>
    <row r="10" spans="2:17" ht="16.2" thickBot="1">
      <c r="B10" s="353"/>
      <c r="C10" s="266">
        <v>8</v>
      </c>
      <c r="D10" s="289" t="str">
        <f t="shared" si="0"/>
        <v/>
      </c>
      <c r="E10" s="290" t="str">
        <f t="shared" si="1"/>
        <v/>
      </c>
      <c r="F10" s="284">
        <v>11</v>
      </c>
      <c r="G10" s="330">
        <v>29</v>
      </c>
      <c r="H10" s="36">
        <v>72</v>
      </c>
      <c r="I10" s="252" t="str">
        <f>IF(ISERROR(VLOOKUP(H10,Baza!A:C,2,FALSE)&amp;" "&amp;"("&amp;H10&amp;")"),"",(VLOOKUP(H10,Baza!A:C,2,FALSE)&amp;" "&amp;"("&amp;H10&amp;")"))</f>
        <v>Дамјан Стојчев (72)</v>
      </c>
      <c r="J10" s="252" t="str">
        <f>IF(ISERROR(VLOOKUP(H10,Baza!A:C,3,FALSE)),"",(VLOOKUP(H10,Baza!A:C,3,FALSE)))</f>
        <v>Астраион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17</v>
      </c>
      <c r="O10" s="330">
        <v>309</v>
      </c>
      <c r="Q10" s="318"/>
    </row>
    <row r="11" spans="2:17">
      <c r="B11" s="354" t="s">
        <v>64</v>
      </c>
      <c r="C11" s="267">
        <v>9</v>
      </c>
      <c r="D11" s="293" t="str">
        <f t="shared" si="0"/>
        <v>Венко Стојанов (49)</v>
      </c>
      <c r="E11" s="294" t="str">
        <f t="shared" si="1"/>
        <v>Радовиш</v>
      </c>
      <c r="F11" s="284">
        <v>18</v>
      </c>
      <c r="G11" s="243">
        <v>22</v>
      </c>
      <c r="H11" s="36">
        <v>190</v>
      </c>
      <c r="I11" s="252" t="str">
        <f>IF(ISERROR(VLOOKUP(H11,Baza!A:C,2,FALSE)&amp;" "&amp;"("&amp;H11&amp;")"),"",(VLOOKUP(H11,Baza!A:C,2,FALSE)&amp;" "&amp;"("&amp;H11&amp;")"))</f>
        <v>Нико Доага (190)</v>
      </c>
      <c r="J11" s="252" t="str">
        <f>IF(ISERROR(VLOOKUP(H11,Baza!A:C,3,FALSE)),"",(VLOOKUP(H11,Baza!A:C,3,FALSE)))</f>
        <v>Младост 96</v>
      </c>
      <c r="K11" s="311" t="str">
        <f>IF(ISERROR(VLOOKUP(H11,Baza!A:D,4,FALSE)),"",(VLOOKUP(H11,Baza!A:D,4,FALSE)))</f>
        <v>U-18</v>
      </c>
      <c r="M11" s="239" t="e">
        <f t="shared" si="2"/>
        <v>#N/A</v>
      </c>
      <c r="N11" s="239">
        <v>18</v>
      </c>
      <c r="O11" s="339">
        <v>287</v>
      </c>
      <c r="Q11" s="318"/>
    </row>
    <row r="12" spans="2:17">
      <c r="B12" s="352"/>
      <c r="C12" s="265">
        <v>10</v>
      </c>
      <c r="D12" s="287" t="str">
        <f t="shared" si="0"/>
        <v>Лука Огненоски (15)</v>
      </c>
      <c r="E12" s="288" t="str">
        <f t="shared" si="1"/>
        <v>Младост 96</v>
      </c>
      <c r="F12" s="284">
        <v>33</v>
      </c>
      <c r="G12" s="243">
        <v>26</v>
      </c>
      <c r="H12" s="243">
        <v>127</v>
      </c>
      <c r="I12" s="252" t="str">
        <f>IF(ISERROR(VLOOKUP(H12,Baza!A:C,2,FALSE)&amp;" "&amp;"("&amp;H12&amp;")"),"",(VLOOKUP(H12,Baza!A:C,2,FALSE)&amp;" "&amp;"("&amp;H12&amp;")"))</f>
        <v>Сашо Љамов (127)</v>
      </c>
      <c r="J12" s="252" t="str">
        <f>IF(ISERROR(VLOOKUP(H12,Baza!A:C,3,FALSE)),"",(VLOOKUP(H12,Baza!A:C,3,FALSE)))</f>
        <v>Радовиш</v>
      </c>
      <c r="K12" s="311" t="str">
        <f>IF(ISERROR(VLOOKUP(H12,Baza!A:D,4,FALSE)),"",(VLOOKUP(H12,Baza!A:D,4,FALSE)))</f>
        <v>SEN</v>
      </c>
      <c r="M12" s="239" t="str">
        <f t="shared" si="2"/>
        <v>Крива Паланка</v>
      </c>
      <c r="N12" s="239">
        <v>33</v>
      </c>
      <c r="O12" s="339">
        <v>234</v>
      </c>
      <c r="Q12" s="318"/>
    </row>
    <row r="13" spans="2:17">
      <c r="B13" s="352"/>
      <c r="C13" s="265">
        <v>11</v>
      </c>
      <c r="D13" s="287" t="str">
        <f t="shared" si="0"/>
        <v>Славчо Спасеноски  (278)</v>
      </c>
      <c r="E13" s="288" t="str">
        <f t="shared" si="1"/>
        <v>Студент</v>
      </c>
      <c r="F13" s="284">
        <v>25</v>
      </c>
      <c r="G13" s="243">
        <v>30</v>
      </c>
      <c r="H13" s="36">
        <v>108</v>
      </c>
      <c r="I13" s="252" t="str">
        <f>IF(ISERROR(VLOOKUP(H13,Baza!A:C,2,FALSE)&amp;" "&amp;"("&amp;H13&amp;")"),"",(VLOOKUP(H13,Baza!A:C,2,FALSE)&amp;" "&amp;"("&amp;H13&amp;")"))</f>
        <v>Даниел Главевски Зхоу  (108)</v>
      </c>
      <c r="J13" s="252" t="str">
        <f>IF(ISERROR(VLOOKUP(H13,Baza!A:C,3,FALSE)),"",(VLOOKUP(H13,Baza!A:C,3,FALSE)))</f>
        <v>Пелагонија</v>
      </c>
      <c r="K13" s="311" t="str">
        <f>IF(ISERROR(VLOOKUP(H13,Baza!A:D,4,FALSE)),"",(VLOOKUP(H13,Baza!A:D,4,FALSE)))</f>
        <v>SEN</v>
      </c>
      <c r="M13" s="239" t="e">
        <f t="shared" si="2"/>
        <v>#N/A</v>
      </c>
      <c r="N13" s="239">
        <v>25</v>
      </c>
      <c r="O13" s="339">
        <v>220</v>
      </c>
      <c r="Q13" s="318"/>
    </row>
    <row r="14" spans="2:17" ht="16.2" thickBot="1">
      <c r="B14" s="355"/>
      <c r="C14" s="268">
        <v>12</v>
      </c>
      <c r="D14" s="291" t="str">
        <f t="shared" si="0"/>
        <v>Филе Матевски (7)</v>
      </c>
      <c r="E14" s="292" t="str">
        <f t="shared" si="1"/>
        <v>Вардар</v>
      </c>
      <c r="F14" s="284">
        <v>28</v>
      </c>
      <c r="G14" s="243">
        <v>18</v>
      </c>
      <c r="H14" s="36">
        <v>178</v>
      </c>
      <c r="I14" s="252" t="str">
        <f>IF(ISERROR(VLOOKUP(H14,Baza!A:C,2,FALSE)&amp;" "&amp;"("&amp;H14&amp;")"),"",(VLOOKUP(H14,Baza!A:C,2,FALSE)&amp;" "&amp;"("&amp;H14&amp;")"))</f>
        <v>Александар Јакимовски (178)</v>
      </c>
      <c r="J14" s="252" t="str">
        <f>IF(ISERROR(VLOOKUP(H14,Baza!A:C,3,FALSE)),"",(VLOOKUP(H14,Baza!A:C,3,FALSE)))</f>
        <v>Крива Паланка</v>
      </c>
      <c r="K14" s="311" t="str">
        <f>IF(ISERROR(VLOOKUP(H14,Baza!A:D,4,FALSE)),"",(VLOOKUP(H14,Baza!A:D,4,FALSE)))</f>
        <v>SEN</v>
      </c>
      <c r="M14" s="239" t="e">
        <f t="shared" si="2"/>
        <v>#N/A</v>
      </c>
      <c r="N14" s="239">
        <v>28</v>
      </c>
      <c r="O14" s="339">
        <v>178</v>
      </c>
      <c r="Q14" s="318"/>
    </row>
    <row r="15" spans="2:17">
      <c r="B15" s="351" t="s">
        <v>65</v>
      </c>
      <c r="C15" s="264">
        <v>13</v>
      </c>
      <c r="D15" s="285" t="str">
        <f t="shared" si="0"/>
        <v>Кристијан Станојковски (10)</v>
      </c>
      <c r="E15" s="286" t="str">
        <f t="shared" si="1"/>
        <v>Крива Паланка</v>
      </c>
      <c r="F15" s="284">
        <v>13</v>
      </c>
      <c r="G15" s="330">
        <v>14</v>
      </c>
      <c r="H15" s="36">
        <v>69</v>
      </c>
      <c r="I15" s="252" t="str">
        <f>IF(ISERROR(VLOOKUP(H15,Baza!A:C,2,FALSE)&amp;" "&amp;"("&amp;H15&amp;")"),"",(VLOOKUP(H15,Baza!A:C,2,FALSE)&amp;" "&amp;"("&amp;H15&amp;")"))</f>
        <v>Сашко Богатинов (69)</v>
      </c>
      <c r="J15" s="252" t="str">
        <f>IF(ISERROR(VLOOKUP(H15,Baza!A:C,3,FALSE)),"",(VLOOKUP(H15,Baza!A:C,3,FALSE)))</f>
        <v>Шампион ФА</v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7</v>
      </c>
      <c r="O15" s="330">
        <v>165</v>
      </c>
      <c r="Q15" s="318"/>
    </row>
    <row r="16" spans="2:17">
      <c r="B16" s="352"/>
      <c r="C16" s="265">
        <v>14</v>
      </c>
      <c r="D16" s="287" t="str">
        <f t="shared" si="0"/>
        <v>Сашко Богатинов (69)</v>
      </c>
      <c r="E16" s="288" t="str">
        <f t="shared" si="1"/>
        <v>Шампион ФА</v>
      </c>
      <c r="F16" s="284">
        <v>34</v>
      </c>
      <c r="G16" s="243">
        <v>2</v>
      </c>
      <c r="H16" s="243">
        <v>365</v>
      </c>
      <c r="I16" s="252" t="str">
        <f>IF(ISERROR(VLOOKUP(H16,Baza!A:C,2,FALSE)&amp;" "&amp;"("&amp;H16&amp;")"),"",(VLOOKUP(H16,Baza!A:C,2,FALSE)&amp;" "&amp;"("&amp;H16&amp;")"))</f>
        <v>Ѓорѓе Бораниев (365)</v>
      </c>
      <c r="J16" s="252" t="str">
        <f>IF(ISERROR(VLOOKUP(H16,Baza!A:C,3,FALSE)),"",(VLOOKUP(H16,Baza!A:C,3,FALSE)))</f>
        <v>Радовиш</v>
      </c>
      <c r="K16" s="311" t="str">
        <f>IF(ISERROR(VLOOKUP(H16,Baza!A:D,4,FALSE)),"",(VLOOKUP(H16,Baza!A:D,4,FALSE)))</f>
        <v>U-15</v>
      </c>
      <c r="M16" s="239" t="e">
        <f t="shared" si="2"/>
        <v>#N/A</v>
      </c>
      <c r="N16" s="239">
        <v>34</v>
      </c>
      <c r="O16" s="339">
        <v>110</v>
      </c>
      <c r="Q16" s="318"/>
    </row>
    <row r="17" spans="2:15">
      <c r="B17" s="352"/>
      <c r="C17" s="265">
        <v>15</v>
      </c>
      <c r="D17" s="287" t="str">
        <f t="shared" si="0"/>
        <v>Дарко Китановски (499)</v>
      </c>
      <c r="E17" s="288" t="str">
        <f t="shared" si="1"/>
        <v>Пелагонија</v>
      </c>
      <c r="F17" s="284">
        <v>31</v>
      </c>
      <c r="G17" s="243">
        <v>6</v>
      </c>
      <c r="H17" s="36">
        <v>35</v>
      </c>
      <c r="I17" s="252" t="str">
        <f>IF(ISERROR(VLOOKUP(H17,Baza!A:C,2,FALSE)&amp;" "&amp;"("&amp;H17&amp;")"),"",(VLOOKUP(H17,Baza!A:C,2,FALSE)&amp;" "&amp;"("&amp;H17&amp;")"))</f>
        <v>Сашо Стојановски (35)</v>
      </c>
      <c r="J17" s="252" t="str">
        <f>IF(ISERROR(VLOOKUP(H17,Baza!A:C,3,FALSE)),"",(VLOOKUP(H17,Baza!A:C,3,FALSE)))</f>
        <v>10 60 АС Ѓорче Петров</v>
      </c>
      <c r="K17" s="311" t="str">
        <f>IF(ISERROR(VLOOKUP(H17,Baza!A:D,4,FALSE)),"",(VLOOKUP(H17,Baza!A:D,4,FALSE)))</f>
        <v>SEN</v>
      </c>
      <c r="M17" s="239" t="str">
        <f t="shared" si="2"/>
        <v>Младост 96</v>
      </c>
      <c r="N17" s="239">
        <v>31</v>
      </c>
      <c r="O17" s="339">
        <v>86</v>
      </c>
    </row>
    <row r="18" spans="2:15" ht="16.2" thickBot="1">
      <c r="B18" s="353"/>
      <c r="C18" s="266">
        <v>16</v>
      </c>
      <c r="D18" s="289" t="str">
        <f t="shared" si="0"/>
        <v>Милчо Чачаров (50)</v>
      </c>
      <c r="E18" s="290" t="str">
        <f t="shared" si="1"/>
        <v>Радовиш</v>
      </c>
      <c r="F18" s="284">
        <v>4</v>
      </c>
      <c r="G18" s="330">
        <v>10</v>
      </c>
      <c r="H18" s="36">
        <v>15</v>
      </c>
      <c r="I18" s="252" t="str">
        <f>IF(ISERROR(VLOOKUP(H18,Baza!A:C,2,FALSE)&amp;" "&amp;"("&amp;H18&amp;")"),"",(VLOOKUP(H18,Baza!A:C,2,FALSE)&amp;" "&amp;"("&amp;H18&amp;")"))</f>
        <v>Лука Огненоски (15)</v>
      </c>
      <c r="J18" s="252" t="str">
        <f>IF(ISERROR(VLOOKUP(H18,Baza!A:C,3,FALSE)),"",(VLOOKUP(H18,Baza!A:C,3,FALSE)))</f>
        <v>Младост 96</v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</v>
      </c>
      <c r="O18" s="330">
        <v>68</v>
      </c>
    </row>
    <row r="19" spans="2:15">
      <c r="B19" s="354" t="s">
        <v>66</v>
      </c>
      <c r="C19" s="273">
        <v>17</v>
      </c>
      <c r="D19" s="293" t="str">
        <f t="shared" si="0"/>
        <v>Христијан Јовановски  (2)</v>
      </c>
      <c r="E19" s="294" t="str">
        <f t="shared" si="1"/>
        <v>Пелагонија</v>
      </c>
      <c r="F19" s="284">
        <v>12</v>
      </c>
      <c r="G19" s="330">
        <v>15</v>
      </c>
      <c r="H19" s="36">
        <v>499</v>
      </c>
      <c r="I19" s="252" t="str">
        <f>IF(ISERROR(VLOOKUP(H19,Baza!A:C,2,FALSE)&amp;" "&amp;"("&amp;H19&amp;")"),"",(VLOOKUP(H19,Baza!A:C,2,FALSE)&amp;" "&amp;"("&amp;H19&amp;")"))</f>
        <v>Дарко Китановски (499)</v>
      </c>
      <c r="J19" s="252" t="str">
        <f>IF(ISERROR(VLOOKUP(H19,Baza!A:C,3,FALSE)),"",(VLOOKUP(H19,Baza!A:C,3,FALSE)))</f>
        <v>Пелагонија</v>
      </c>
      <c r="K19" s="327" t="str">
        <f>IF(ISERROR(VLOOKUP(H19,[1]Baza!A:D,4,FALSE)),"",(VLOOKUP(H19,[1]Baza!A:D,4,FALSE)))</f>
        <v/>
      </c>
      <c r="L19" s="331"/>
      <c r="M19" s="332" t="e">
        <f t="shared" si="2"/>
        <v>#N/A</v>
      </c>
      <c r="N19" s="332">
        <v>11</v>
      </c>
      <c r="O19" s="330">
        <v>60</v>
      </c>
    </row>
    <row r="20" spans="2:15">
      <c r="B20" s="352"/>
      <c r="C20" s="270">
        <v>18</v>
      </c>
      <c r="D20" s="287" t="str">
        <f t="shared" si="0"/>
        <v>Александар Јакимовски (178)</v>
      </c>
      <c r="E20" s="288" t="str">
        <f t="shared" si="1"/>
        <v>Крива Паланка</v>
      </c>
      <c r="F20" s="284">
        <v>5</v>
      </c>
      <c r="G20" s="330">
        <v>3</v>
      </c>
      <c r="H20" s="36">
        <v>448</v>
      </c>
      <c r="I20" s="252" t="str">
        <f>IF(ISERROR(VLOOKUP(H20,Baza!A:C,2,FALSE)&amp;" "&amp;"("&amp;H20&amp;")"),"",(VLOOKUP(H20,Baza!A:C,2,FALSE)&amp;" "&amp;"("&amp;H20&amp;")"))</f>
        <v>Вања Спасиќ (448)</v>
      </c>
      <c r="J20" s="252" t="str">
        <f>IF(ISERROR(VLOOKUP(H20,Baza!A:C,3,FALSE)),"",(VLOOKUP(H20,Baza!A:C,3,FALSE)))</f>
        <v>Дебар Маало</v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6</v>
      </c>
      <c r="O20" s="330">
        <v>52</v>
      </c>
    </row>
    <row r="21" spans="2:15">
      <c r="B21" s="352"/>
      <c r="C21" s="270">
        <v>19</v>
      </c>
      <c r="D21" s="287" t="str">
        <f t="shared" si="0"/>
        <v>Игор Николовски (84)</v>
      </c>
      <c r="E21" s="288" t="str">
        <f t="shared" si="1"/>
        <v>Дебар Маало</v>
      </c>
      <c r="F21" s="284">
        <v>9</v>
      </c>
      <c r="G21" s="330">
        <v>7</v>
      </c>
      <c r="H21" s="36">
        <v>130</v>
      </c>
      <c r="I21" s="252" t="str">
        <f>IF(ISERROR(VLOOKUP(H21,Baza!A:C,2,FALSE)&amp;" "&amp;"("&amp;H21&amp;")"),"",(VLOOKUP(H21,Baza!A:C,2,FALSE)&amp;" "&amp;"("&amp;H21&amp;")"))</f>
        <v>Борис Секулов (130)</v>
      </c>
      <c r="J21" s="252" t="str">
        <f>IF(ISERROR(VLOOKUP(H21,Baza!A:C,3,FALSE)),"",(VLOOKUP(H21,Baza!A:C,3,FALSE)))</f>
        <v>Астраион</v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16</v>
      </c>
      <c r="O21" s="330">
        <v>47</v>
      </c>
    </row>
    <row r="22" spans="2:15" ht="16.2" thickBot="1">
      <c r="B22" s="355"/>
      <c r="C22" s="271">
        <v>20</v>
      </c>
      <c r="D22" s="291" t="str">
        <f t="shared" si="0"/>
        <v>Златко Крстевски (248)</v>
      </c>
      <c r="E22" s="292" t="str">
        <f t="shared" si="1"/>
        <v>Хепи</v>
      </c>
      <c r="F22" s="284">
        <v>14</v>
      </c>
      <c r="G22" s="330">
        <v>11</v>
      </c>
      <c r="H22" s="36">
        <v>278</v>
      </c>
      <c r="I22" s="252" t="str">
        <f>IF(ISERROR(VLOOKUP(H22,Baza!A:C,2,FALSE)&amp;" "&amp;"("&amp;H22&amp;")"),"",(VLOOKUP(H22,Baza!A:C,2,FALSE)&amp;" "&amp;"("&amp;H22&amp;")"))</f>
        <v>Славчо Спасеноски  (278)</v>
      </c>
      <c r="J22" s="252" t="str">
        <f>IF(ISERROR(VLOOKUP(H22,Baza!A:C,3,FALSE)),"",(VLOOKUP(H22,Baza!A:C,3,FALSE)))</f>
        <v>Студент</v>
      </c>
      <c r="K22" s="327" t="str">
        <f>IF(ISERROR(VLOOKUP(H22,[1]Baza!A:D,4,FALSE)),"",(VLOOKUP(H22,[1]Baza!A:D,4,FALSE)))</f>
        <v/>
      </c>
      <c r="L22" s="331"/>
      <c r="M22" s="332" t="e">
        <f t="shared" si="2"/>
        <v>#N/A</v>
      </c>
      <c r="N22" s="332">
        <v>13</v>
      </c>
      <c r="O22" s="330">
        <v>39</v>
      </c>
    </row>
    <row r="23" spans="2:15">
      <c r="B23" s="351" t="s">
        <v>67</v>
      </c>
      <c r="C23" s="269">
        <v>21</v>
      </c>
      <c r="D23" s="285" t="str">
        <f t="shared" si="0"/>
        <v>Алeксандар Марковиќ (3)</v>
      </c>
      <c r="E23" s="286" t="str">
        <f t="shared" si="1"/>
        <v>Вардар</v>
      </c>
      <c r="F23" s="284">
        <v>2</v>
      </c>
      <c r="G23" s="330">
        <v>23</v>
      </c>
      <c r="H23" s="341">
        <v>85</v>
      </c>
      <c r="I23" s="252" t="str">
        <f>IF(ISERROR(VLOOKUP(H23,Baza!A:C,2,FALSE)&amp;" "&amp;"("&amp;H23&amp;")"),"",(VLOOKUP(H23,Baza!A:C,2,FALSE)&amp;" "&amp;"("&amp;H23&amp;")"))</f>
        <v>Боро Варошлија (85)</v>
      </c>
      <c r="J23" s="252" t="str">
        <f>IF(ISERROR(VLOOKUP(H23,Baza!A:C,3,FALSE)),"",(VLOOKUP(H23,Baza!A:C,3,FALSE)))</f>
        <v>Дебар Маало</v>
      </c>
      <c r="K23" s="327" t="str">
        <f>IF(ISERROR(VLOOKUP(H23,[1]Baza!A:D,4,FALSE)),"",(VLOOKUP(H23,[1]Baza!A:D,4,FALSE)))</f>
        <v/>
      </c>
      <c r="L23" s="331"/>
      <c r="M23" s="332" t="e">
        <f t="shared" si="2"/>
        <v>#N/A</v>
      </c>
      <c r="N23" s="332">
        <v>8</v>
      </c>
      <c r="O23" s="330">
        <v>28</v>
      </c>
    </row>
    <row r="24" spans="2:15">
      <c r="B24" s="352"/>
      <c r="C24" s="270">
        <v>22</v>
      </c>
      <c r="D24" s="287" t="str">
        <f t="shared" si="0"/>
        <v>Нико Доага (190)</v>
      </c>
      <c r="E24" s="288" t="str">
        <f t="shared" si="1"/>
        <v>Младост 96</v>
      </c>
      <c r="F24" s="284">
        <v>19</v>
      </c>
      <c r="G24" s="243">
        <v>31</v>
      </c>
      <c r="H24" s="350">
        <v>139</v>
      </c>
      <c r="I24" s="252" t="str">
        <f>IF(ISERROR(VLOOKUP(H24,Baza!A:C,2,FALSE)&amp;" "&amp;"("&amp;H24&amp;")"),"",(VLOOKUP(H24,Baza!A:C,2,FALSE)&amp;" "&amp;"("&amp;H24&amp;")"))</f>
        <v>Јован Ковачовски (139)</v>
      </c>
      <c r="J24" s="252" t="str">
        <f>IF(ISERROR(VLOOKUP(H24,Baza!A:C,3,FALSE)),"",(VLOOKUP(H24,Baza!A:C,3,FALSE)))</f>
        <v>Берово</v>
      </c>
      <c r="K24" s="311" t="str">
        <f>IF(ISERROR(VLOOKUP(H24,Baza!A:D,4,FALSE)),"",(VLOOKUP(H24,Baza!A:D,4,FALSE)))</f>
        <v>U-18</v>
      </c>
      <c r="M24" s="239" t="e">
        <f t="shared" si="2"/>
        <v>#N/A</v>
      </c>
      <c r="N24" s="239">
        <v>19</v>
      </c>
      <c r="O24" s="339">
        <v>16</v>
      </c>
    </row>
    <row r="25" spans="2:15">
      <c r="B25" s="352"/>
      <c r="C25" s="270">
        <v>23</v>
      </c>
      <c r="D25" s="287" t="str">
        <f t="shared" si="0"/>
        <v>Боро Варошлија (85)</v>
      </c>
      <c r="E25" s="288" t="str">
        <f t="shared" si="1"/>
        <v>Дебар Маало</v>
      </c>
      <c r="F25" s="284">
        <v>29</v>
      </c>
      <c r="G25" s="243">
        <v>19</v>
      </c>
      <c r="H25" s="36">
        <v>84</v>
      </c>
      <c r="I25" s="252" t="str">
        <f>IF(ISERROR(VLOOKUP(H25,Baza!A:C,2,FALSE)&amp;" "&amp;"("&amp;H25&amp;")"),"",(VLOOKUP(H25,Baza!A:C,2,FALSE)&amp;" "&amp;"("&amp;H25&amp;")"))</f>
        <v>Игор Николовски (84)</v>
      </c>
      <c r="J25" s="252" t="str">
        <f>IF(ISERROR(VLOOKUP(H25,Baza!A:C,3,FALSE)),"",(VLOOKUP(H25,Baza!A:C,3,FALSE)))</f>
        <v>Дебар Маало</v>
      </c>
      <c r="K25" s="311" t="str">
        <f>IF(ISERROR(VLOOKUP(H25,Baza!A:D,4,FALSE)),"",(VLOOKUP(H25,Baza!A:D,4,FALSE)))</f>
        <v>SEN</v>
      </c>
      <c r="M25" s="239" t="e">
        <f t="shared" si="2"/>
        <v>#N/A</v>
      </c>
      <c r="N25" s="239">
        <v>29</v>
      </c>
      <c r="O25" s="339">
        <v>11</v>
      </c>
    </row>
    <row r="26" spans="2:15" ht="16.2" thickBot="1">
      <c r="B26" s="353"/>
      <c r="C26" s="272">
        <v>24</v>
      </c>
      <c r="D26" s="289" t="str">
        <f t="shared" si="0"/>
        <v>Марин Глигоров (675)</v>
      </c>
      <c r="E26" s="290" t="str">
        <f t="shared" si="1"/>
        <v>10 60 АС Ѓорче Петров</v>
      </c>
      <c r="F26" s="284">
        <v>30</v>
      </c>
      <c r="G26" s="243">
        <v>27</v>
      </c>
      <c r="H26" s="36">
        <v>472</v>
      </c>
      <c r="I26" s="252" t="str">
        <f>IF(ISERROR(VLOOKUP(H26,Baza!A:C,2,FALSE)&amp;" "&amp;"("&amp;H26&amp;")"),"",(VLOOKUP(H26,Baza!A:C,2,FALSE)&amp;" "&amp;"("&amp;H26&amp;")"))</f>
        <v>Јован Пармачки (472)</v>
      </c>
      <c r="J26" s="252" t="str">
        <f>IF(ISERROR(VLOOKUP(H26,Baza!A:C,3,FALSE)),"",(VLOOKUP(H26,Baza!A:C,3,FALSE)))</f>
        <v>Берово</v>
      </c>
      <c r="K26" s="311">
        <f>IF(ISERROR(VLOOKUP(H26,Baza!A:D,4,FALSE)),"",(VLOOKUP(H26,Baza!A:D,4,FALSE)))</f>
        <v>0</v>
      </c>
      <c r="M26" s="239" t="e">
        <f t="shared" si="2"/>
        <v>#N/A</v>
      </c>
      <c r="N26" s="239">
        <v>30</v>
      </c>
      <c r="O26" s="339">
        <v>11</v>
      </c>
    </row>
    <row r="27" spans="2:15">
      <c r="B27" s="354" t="s">
        <v>68</v>
      </c>
      <c r="C27" s="273">
        <v>25</v>
      </c>
      <c r="D27" s="293" t="str">
        <f t="shared" si="0"/>
        <v>Андреј Стојановски (47)</v>
      </c>
      <c r="E27" s="294" t="str">
        <f t="shared" si="1"/>
        <v>10 60 АС Ѓорче Петров</v>
      </c>
      <c r="F27" s="284">
        <v>24</v>
      </c>
      <c r="G27" s="243">
        <v>24</v>
      </c>
      <c r="H27" s="36">
        <v>675</v>
      </c>
      <c r="I27" s="252" t="str">
        <f>IF(ISERROR(VLOOKUP(H27,Baza!A:C,2,FALSE)&amp;" "&amp;"("&amp;H27&amp;")"),"",(VLOOKUP(H27,Baza!A:C,2,FALSE)&amp;" "&amp;"("&amp;H27&amp;")"))</f>
        <v>Марин Глигоров (675)</v>
      </c>
      <c r="J27" s="252" t="str">
        <f>IF(ISERROR(VLOOKUP(H27,Baza!A:C,3,FALSE)),"",(VLOOKUP(H27,Baza!A:C,3,FALSE)))</f>
        <v>10 60 АС Ѓорче Петров</v>
      </c>
      <c r="K27" s="311">
        <f>IF(ISERROR(VLOOKUP(H27,Baza!A:D,4,FALSE)),"",(VLOOKUP(H27,Baza!A:D,4,FALSE)))</f>
        <v>0</v>
      </c>
      <c r="M27" s="239" t="e">
        <f t="shared" si="2"/>
        <v>#N/A</v>
      </c>
      <c r="N27" s="239">
        <v>24</v>
      </c>
      <c r="O27" s="339">
        <v>8</v>
      </c>
    </row>
    <row r="28" spans="2:15">
      <c r="B28" s="352"/>
      <c r="C28" s="270">
        <v>26</v>
      </c>
      <c r="D28" s="287" t="str">
        <f t="shared" si="0"/>
        <v>Сашо Љамов (127)</v>
      </c>
      <c r="E28" s="288" t="str">
        <f t="shared" si="1"/>
        <v>Радовиш</v>
      </c>
      <c r="F28" s="284">
        <v>17</v>
      </c>
      <c r="G28" s="330">
        <v>20</v>
      </c>
      <c r="H28" s="36">
        <v>248</v>
      </c>
      <c r="I28" s="252" t="str">
        <f>IF(ISERROR(VLOOKUP(H28,Baza!A:C,2,FALSE)&amp;" "&amp;"("&amp;H28&amp;")"),"",(VLOOKUP(H28,Baza!A:C,2,FALSE)&amp;" "&amp;"("&amp;H28&amp;")"))</f>
        <v>Златко Крстевски (248)</v>
      </c>
      <c r="J28" s="252" t="str">
        <f>IF(ISERROR(VLOOKUP(H28,Baza!A:C,3,FALSE)),"",(VLOOKUP(H28,Baza!A:C,3,FALSE)))</f>
        <v>Хепи</v>
      </c>
      <c r="K28" s="327" t="str">
        <f>IF(ISERROR(VLOOKUP(H28,[1]Baza!A:D,4,FALSE)),"",(VLOOKUP(H28,[1]Baza!A:D,4,FALSE)))</f>
        <v/>
      </c>
      <c r="L28" s="331"/>
      <c r="M28" s="332" t="e">
        <f t="shared" si="2"/>
        <v>#N/A</v>
      </c>
      <c r="N28" s="332">
        <v>3</v>
      </c>
      <c r="O28" s="330">
        <v>0</v>
      </c>
    </row>
    <row r="29" spans="2:15">
      <c r="B29" s="352"/>
      <c r="C29" s="270">
        <v>27</v>
      </c>
      <c r="D29" s="287" t="str">
        <f t="shared" si="0"/>
        <v>Јован Пармачки (472)</v>
      </c>
      <c r="E29" s="288" t="str">
        <f t="shared" si="1"/>
        <v>Берово</v>
      </c>
      <c r="F29" s="284">
        <v>10</v>
      </c>
      <c r="G29" s="330">
        <v>28</v>
      </c>
      <c r="H29" s="36">
        <v>361</v>
      </c>
      <c r="I29" s="252" t="str">
        <f>IF(ISERROR(VLOOKUP(H29,Baza!A:C,2,FALSE)&amp;" "&amp;"("&amp;H29&amp;")"),"",(VLOOKUP(H29,Baza!A:C,2,FALSE)&amp;" "&amp;"("&amp;H29&amp;")"))</f>
        <v>Петар Јуришиќ (361)</v>
      </c>
      <c r="J29" s="252" t="str">
        <f>IF(ISERROR(VLOOKUP(H29,Baza!A:C,3,FALSE)),"",(VLOOKUP(H29,Baza!A:C,3,FALSE)))</f>
        <v>Дебар Маало</v>
      </c>
      <c r="K29" s="327" t="str">
        <f>IF(ISERROR(VLOOKUP(H29,[1]Baza!A:D,4,FALSE)),"",(VLOOKUP(H29,[1]Baza!A:D,4,FALSE)))</f>
        <v/>
      </c>
      <c r="L29" s="331"/>
      <c r="M29" s="332" t="e">
        <f t="shared" si="2"/>
        <v>#N/A</v>
      </c>
      <c r="N29" s="332">
        <v>12</v>
      </c>
      <c r="O29" s="330">
        <v>0</v>
      </c>
    </row>
    <row r="30" spans="2:15" ht="16.2" thickBot="1">
      <c r="B30" s="355"/>
      <c r="C30" s="271">
        <v>28</v>
      </c>
      <c r="D30" s="291" t="str">
        <f t="shared" si="0"/>
        <v>Петар Јуришиќ (361)</v>
      </c>
      <c r="E30" s="292" t="str">
        <f t="shared" si="1"/>
        <v>Дебар Маало</v>
      </c>
      <c r="F30" s="284">
        <v>23</v>
      </c>
      <c r="G30" s="243">
        <v>32</v>
      </c>
      <c r="H30" s="36">
        <v>536</v>
      </c>
      <c r="I30" s="252" t="str">
        <f>IF(ISERROR(VLOOKUP(H30,Baza!A:C,2,FALSE)&amp;" "&amp;"("&amp;H30&amp;")"),"",(VLOOKUP(H30,Baza!A:C,2,FALSE)&amp;" "&amp;"("&amp;H30&amp;")"))</f>
        <v>Дамјан Петровиќ (536)</v>
      </c>
      <c r="J30" s="252" t="str">
        <f>IF(ISERROR(VLOOKUP(H30,Baza!A:C,3,FALSE)),"",(VLOOKUP(H30,Baza!A:C,3,FALSE)))</f>
        <v>Дебар Маало</v>
      </c>
      <c r="K30" s="311">
        <f>IF(ISERROR(VLOOKUP(H30,Baza!A:D,4,FALSE)),"",(VLOOKUP(H30,Baza!A:D,4,FALSE)))</f>
        <v>0</v>
      </c>
      <c r="M30" s="239" t="e">
        <f t="shared" si="2"/>
        <v>#N/A</v>
      </c>
      <c r="N30" s="239">
        <v>23</v>
      </c>
      <c r="O30" s="339">
        <v>0</v>
      </c>
    </row>
    <row r="31" spans="2:15">
      <c r="B31" s="351" t="s">
        <v>69</v>
      </c>
      <c r="C31" s="269">
        <v>29</v>
      </c>
      <c r="D31" s="285" t="str">
        <f t="shared" si="0"/>
        <v>Дамјан Стојчев (72)</v>
      </c>
      <c r="E31" s="286" t="str">
        <f t="shared" si="1"/>
        <v>Астраион</v>
      </c>
      <c r="F31" s="284">
        <v>21</v>
      </c>
      <c r="G31" s="243">
        <v>16</v>
      </c>
      <c r="H31" s="340">
        <v>50</v>
      </c>
      <c r="I31" s="252" t="str">
        <f>IF(ISERROR(VLOOKUP(H31,Baza!A:C,2,FALSE)&amp;" "&amp;"("&amp;H31&amp;")"),"",(VLOOKUP(H31,Baza!A:C,2,FALSE)&amp;" "&amp;"("&amp;H31&amp;")"))</f>
        <v>Милчо Чачаров (50)</v>
      </c>
      <c r="J31" s="252" t="str">
        <f>IF(ISERROR(VLOOKUP(H31,Baza!A:C,3,FALSE)),"",(VLOOKUP(H31,Baza!A:C,3,FALSE)))</f>
        <v>Радовиш</v>
      </c>
      <c r="K31" s="311" t="str">
        <f>IF(ISERROR(VLOOKUP(H31,Baza!A:D,4,FALSE)),"",(VLOOKUP(H31,Baza!A:D,4,FALSE)))</f>
        <v>SEN</v>
      </c>
      <c r="M31" s="239" t="e">
        <f t="shared" si="2"/>
        <v>#N/A</v>
      </c>
      <c r="N31" s="239">
        <v>21</v>
      </c>
      <c r="O31" s="339">
        <v>0</v>
      </c>
    </row>
    <row r="32" spans="2:15">
      <c r="B32" s="352"/>
      <c r="C32" s="270">
        <v>30</v>
      </c>
      <c r="D32" s="287" t="str">
        <f t="shared" si="0"/>
        <v>Даниел Главевски Зхоу  (108)</v>
      </c>
      <c r="E32" s="288" t="str">
        <f t="shared" si="1"/>
        <v>Пелагонија</v>
      </c>
      <c r="F32" s="284">
        <v>7</v>
      </c>
      <c r="G32" s="330">
        <v>12</v>
      </c>
      <c r="H32" s="36">
        <v>7</v>
      </c>
      <c r="I32" s="252" t="str">
        <f>IF(ISERROR(VLOOKUP(H32,Baza!A:C,2,FALSE)&amp;" "&amp;"("&amp;H32&amp;")"),"",(VLOOKUP(H32,Baza!A:C,2,FALSE)&amp;" "&amp;"("&amp;H32&amp;")"))</f>
        <v>Филе Матевски (7)</v>
      </c>
      <c r="J32" s="252" t="str">
        <f>IF(ISERROR(VLOOKUP(H32,Baza!A:C,3,FALSE)),"",(VLOOKUP(H32,Baza!A:C,3,FALSE)))</f>
        <v>Вардар</v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>
        <v>94</v>
      </c>
    </row>
    <row r="33" spans="1:15">
      <c r="B33" s="352"/>
      <c r="C33" s="270">
        <v>31</v>
      </c>
      <c r="D33" s="287" t="str">
        <f t="shared" si="0"/>
        <v>Јован Ковачовски (139)</v>
      </c>
      <c r="E33" s="288" t="str">
        <f t="shared" si="1"/>
        <v>Берово</v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>Дамјан Петровиќ (536)</v>
      </c>
      <c r="E34" s="290" t="str">
        <f t="shared" si="1"/>
        <v>Дебар Маало</v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str">
        <f t="shared" si="5"/>
        <v>10 60 АС Ѓорче Петров</v>
      </c>
      <c r="N37" s="239">
        <v>35</v>
      </c>
      <c r="O37" s="339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str">
        <f t="shared" si="5"/>
        <v>10 60 АС Ѓорче Петров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str">
        <f t="shared" si="5"/>
        <v>Радовиш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str">
        <f t="shared" si="5"/>
        <v>Радовиш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P13" sqref="P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920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Лука Стојчев (73)</v>
      </c>
      <c r="E4" s="32">
        <f>C4+4</f>
        <v>5</v>
      </c>
      <c r="F4" s="33" t="str">
        <f>IF(VLOOKUP(E4,PARTICIPANTS!$C$3:$D$98,2,FALSE)="","",(VLOOKUP(E4,PARTICIPANTS!$C$3:$D$98,2,FALSE)))</f>
        <v>Филип Младеновски (70)</v>
      </c>
      <c r="G4" s="32">
        <f>E4+4</f>
        <v>9</v>
      </c>
      <c r="H4" s="33" t="str">
        <f>IF(VLOOKUP(G4,PARTICIPANTS!$C$3:$D$98,2,FALSE)="","",(VLOOKUP(G4,PARTICIPANTS!$C$3:$D$98,2,FALSE)))</f>
        <v>Венко Стојанов (49)</v>
      </c>
      <c r="I4" s="32">
        <f>G4+4</f>
        <v>13</v>
      </c>
      <c r="J4" s="33" t="str">
        <f>IF(VLOOKUP(I4,PARTICIPANTS!$C$3:$D$98,2,FALSE)="","",(VLOOKUP(I4,PARTICIPANTS!$C$3:$D$98,2,FALSE)))</f>
        <v>Кристијан Станојковски (10)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Ѓорѓе Бораниев (365)</v>
      </c>
      <c r="E5" s="32">
        <f t="shared" ref="E5:I7" si="0">C5+4</f>
        <v>6</v>
      </c>
      <c r="F5" s="33" t="str">
        <f>IF(VLOOKUP(E5,PARTICIPANTS!$C$3:$D$98,2,FALSE)="","",(VLOOKUP(E5,PARTICIPANTS!$C$3:$D$98,2,FALSE)))</f>
        <v>Сашо Стојановски (35)</v>
      </c>
      <c r="G5" s="32">
        <f t="shared" si="0"/>
        <v>10</v>
      </c>
      <c r="H5" s="33" t="str">
        <f>IF(VLOOKUP(G5,PARTICIPANTS!$C$3:$D$98,2,FALSE)="","",(VLOOKUP(G5,PARTICIPANTS!$C$3:$D$98,2,FALSE)))</f>
        <v>Лука Огненоски (15)</v>
      </c>
      <c r="I5" s="32">
        <f t="shared" si="0"/>
        <v>14</v>
      </c>
      <c r="J5" s="33" t="str">
        <f>IF(VLOOKUP(I5,PARTICIPANTS!$C$3:$D$98,2,FALSE)="","",(VLOOKUP(I5,PARTICIPANTS!$C$3:$D$98,2,FALSE)))</f>
        <v>Сашко Богатинов (69)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Вања Спасиќ (448)</v>
      </c>
      <c r="E6" s="32">
        <f t="shared" si="0"/>
        <v>7</v>
      </c>
      <c r="F6" s="33" t="str">
        <f>IF(VLOOKUP(E6,PARTICIPANTS!$C$3:$D$98,2,FALSE)="","",(VLOOKUP(E6,PARTICIPANTS!$C$3:$D$98,2,FALSE)))</f>
        <v>Борис Секулов (130)</v>
      </c>
      <c r="G6" s="32">
        <f t="shared" si="0"/>
        <v>11</v>
      </c>
      <c r="H6" s="33" t="str">
        <f>IF(VLOOKUP(G6,PARTICIPANTS!$C$3:$D$98,2,FALSE)="","",(VLOOKUP(G6,PARTICIPANTS!$C$3:$D$98,2,FALSE)))</f>
        <v>Славчо Спасеноски  (278)</v>
      </c>
      <c r="I6" s="32">
        <f t="shared" si="0"/>
        <v>15</v>
      </c>
      <c r="J6" s="33" t="str">
        <f>IF(VLOOKUP(I6,PARTICIPANTS!$C$3:$D$98,2,FALSE)="","",(VLOOKUP(I6,PARTICIPANTS!$C$3:$D$98,2,FALSE)))</f>
        <v>Дарко Китановски (499)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Филе Матевски (7)</v>
      </c>
      <c r="I7" s="32">
        <f t="shared" si="0"/>
        <v>16</v>
      </c>
      <c r="J7" s="33" t="str">
        <f>IF(VLOOKUP(I7,PARTICIPANTS!$C$3:$D$98,2,FALSE)="","",(VLOOKUP(I7,PARTICIPANTS!$C$3:$D$98,2,FALSE)))</f>
        <v>Милчо Чачаров (50)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Христијан Јовановски  (2)</v>
      </c>
      <c r="E9" s="32">
        <f>C9+4</f>
        <v>21</v>
      </c>
      <c r="F9" s="33" t="str">
        <f>IF(VLOOKUP(E9,PARTICIPANTS!$C$3:$D$98,2,FALSE)="","",(VLOOKUP(E9,PARTICIPANTS!$C$3:$D$98,2,FALSE)))</f>
        <v>Алeксандар Марковиќ (3)</v>
      </c>
      <c r="G9" s="32">
        <f>E9+4</f>
        <v>25</v>
      </c>
      <c r="H9" s="33" t="str">
        <f>IF(VLOOKUP(G9,PARTICIPANTS!$C$3:$D$98,2,FALSE)="","",(VLOOKUP(G9,PARTICIPANTS!$C$3:$D$98,2,FALSE)))</f>
        <v>Андреј Стојановски (47)</v>
      </c>
      <c r="I9" s="32">
        <f>G9+4</f>
        <v>29</v>
      </c>
      <c r="J9" s="33" t="str">
        <f>IF(VLOOKUP(I9,PARTICIPANTS!$C$3:$D$98,2,FALSE)="","",(VLOOKUP(I9,PARTICIPANTS!$C$3:$D$98,2,FALSE)))</f>
        <v>Дамјан Стојчев (72)</v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Александар Јакимовски (178)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Нико Доага (190)</v>
      </c>
      <c r="G10" s="32">
        <f t="shared" si="1"/>
        <v>26</v>
      </c>
      <c r="H10" s="33" t="str">
        <f>IF(VLOOKUP(G10,PARTICIPANTS!$C$3:$D$98,2,FALSE)="","",(VLOOKUP(G10,PARTICIPANTS!$C$3:$D$98,2,FALSE)))</f>
        <v>Сашо Љамов (127)</v>
      </c>
      <c r="I10" s="32">
        <f t="shared" si="1"/>
        <v>30</v>
      </c>
      <c r="J10" s="33" t="str">
        <f>IF(VLOOKUP(I10,PARTICIPANTS!$C$3:$D$98,2,FALSE)="","",(VLOOKUP(I10,PARTICIPANTS!$C$3:$D$98,2,FALSE)))</f>
        <v>Даниел Главевски Зхоу  (108)</v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Игор Николовски (84)</v>
      </c>
      <c r="E11" s="32">
        <f t="shared" si="1"/>
        <v>23</v>
      </c>
      <c r="F11" s="33" t="str">
        <f>IF(VLOOKUP(E11,PARTICIPANTS!$C$3:$D$98,2,FALSE)="","",(VLOOKUP(E11,PARTICIPANTS!$C$3:$D$98,2,FALSE)))</f>
        <v>Боро Варошлија (85)</v>
      </c>
      <c r="G11" s="32">
        <f t="shared" si="1"/>
        <v>27</v>
      </c>
      <c r="H11" s="33" t="str">
        <f>IF(VLOOKUP(G11,PARTICIPANTS!$C$3:$D$98,2,FALSE)="","",(VLOOKUP(G11,PARTICIPANTS!$C$3:$D$98,2,FALSE)))</f>
        <v>Јован Пармачки (472)</v>
      </c>
      <c r="I11" s="32">
        <f t="shared" si="1"/>
        <v>31</v>
      </c>
      <c r="J11" s="33" t="str">
        <f>IF(VLOOKUP(I11,PARTICIPANTS!$C$3:$D$98,2,FALSE)="","",(VLOOKUP(I11,PARTICIPANTS!$C$3:$D$98,2,FALSE)))</f>
        <v>Јован Ковачовски (139)</v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Златко Крстевски (248)</v>
      </c>
      <c r="E12" s="32">
        <f t="shared" si="1"/>
        <v>24</v>
      </c>
      <c r="F12" s="33" t="str">
        <f>IF(VLOOKUP(E12,PARTICIPANTS!$C$3:$D$98,2,FALSE)="","",(VLOOKUP(E12,PARTICIPANTS!$C$3:$D$98,2,FALSE)))</f>
        <v>Марин Глигоров (675)</v>
      </c>
      <c r="G12" s="32">
        <f t="shared" si="1"/>
        <v>28</v>
      </c>
      <c r="H12" s="33" t="str">
        <f>IF(VLOOKUP(G12,PARTICIPANTS!$C$3:$D$98,2,FALSE)="","",(VLOOKUP(G12,PARTICIPANTS!$C$3:$D$98,2,FALSE)))</f>
        <v>Петар Јуришиќ (361)</v>
      </c>
      <c r="I12" s="32">
        <f t="shared" si="1"/>
        <v>32</v>
      </c>
      <c r="J12" s="33" t="str">
        <f>IF(VLOOKUP(I12,PARTICIPANTS!$C$3:$D$98,2,FALSE)="","",(VLOOKUP(I12,PARTICIPANTS!$C$3:$D$98,2,FALSE)))</f>
        <v>Дамјан Петровиќ (536)</v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3">
        <v>151</v>
      </c>
      <c r="B150" s="344" t="s">
        <v>279</v>
      </c>
      <c r="C150" s="343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3">
        <v>338</v>
      </c>
      <c r="B337" s="345" t="s">
        <v>483</v>
      </c>
      <c r="C337" s="343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6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1001</v>
      </c>
      <c r="B730" s="227" t="s">
        <v>825</v>
      </c>
      <c r="C730" s="230" t="s">
        <v>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Лука Стојчев (73)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Ѓорѓе Бораниев (365)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Вања Спасиќ (448)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Лука Стојчев (73)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Ѓорѓе Бораниев (365)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Ѓорѓе Бораниев (365)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Вања Спасиќ (448)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Вања Спасиќ (448)</v>
      </c>
      <c r="D18" s="140">
        <v>2</v>
      </c>
      <c r="E18" s="141" t="str">
        <f>IF(C5="","",VLOOKUP(D18,$B$3:$E$6,2,FALSE))</f>
        <v>Ѓорѓе Бораниев (365)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Лука Стојчев (73)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Лука Стојчев (73)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73</v>
      </c>
      <c r="Q3" s="111">
        <f>IF(AND(T9="",T13="",T17=""),"",AP3)</f>
        <v>52</v>
      </c>
      <c r="R3" s="380">
        <f>IF(ISERROR(IF(AND(T9="",T13="",T17=""),"",SUM(AB3:AD3)+(N3-O3)/1000)+(AK3/10000)),"",IF(AND(T9="",T13="",T17=""),"",SUM(AB3:AD3)+(N3-O3)/1000)+(AK3/10000)+(AG3/100000))</f>
        <v>4.0078300000000002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Ѓорѓе Бораниев (365)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73</v>
      </c>
      <c r="AH3" s="10">
        <f>F9+H9+J9+L9+N9+P9+R9</f>
        <v>40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21</v>
      </c>
      <c r="AL3" s="376"/>
      <c r="AM3" s="10">
        <f>AH5</f>
        <v>29</v>
      </c>
      <c r="AN3" s="10">
        <f>AI4</f>
        <v>23</v>
      </c>
      <c r="AO3" s="10">
        <f>AJ6</f>
        <v>0</v>
      </c>
      <c r="AP3" s="9">
        <f>SUM(AM3:AO3)</f>
        <v>52</v>
      </c>
    </row>
    <row r="4" spans="2:47" ht="24" customHeight="1">
      <c r="B4" s="101">
        <v>2</v>
      </c>
      <c r="C4" s="377" t="str">
        <f>IF(GROUPS!D5="","",GROUPS!D5)</f>
        <v>Ѓорѓе Бораниев (365)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61</v>
      </c>
      <c r="Q4" s="111">
        <f>IF(AND(T10="",U13="",U18=""),"",AP4)</f>
        <v>60</v>
      </c>
      <c r="R4" s="380">
        <f>IF(ISERROR(IF(AND(T10="",U13="",U18=""),"",SUM(AB4:AD4)+(N4-O4)/1000)+(AK4/10000)+(AG4/100000)),"",IF(AND(T10="",U13="",U18=""),"",SUM(AB4:AD4)+(N4-O4)/1000)+(AK4/10000)+(AG4/100000))</f>
        <v>3.0007100000000002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403" t="str">
        <f t="shared" si="0"/>
        <v>Вања Спасиќ (448)</v>
      </c>
      <c r="Y4" s="404"/>
      <c r="Z4" s="40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61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38</v>
      </c>
      <c r="AK4" s="375">
        <f t="shared" ref="AK4:AK6" si="2">SUM(AH4:AJ4)-SUM(AM4:AO4)</f>
        <v>1</v>
      </c>
      <c r="AL4" s="376"/>
      <c r="AM4" s="10">
        <f>AH6</f>
        <v>0</v>
      </c>
      <c r="AN4" s="10">
        <f>AI3</f>
        <v>33</v>
      </c>
      <c r="AO4" s="10">
        <f>AJ5</f>
        <v>27</v>
      </c>
      <c r="AP4" s="9">
        <f t="shared" ref="AP4:AP6" si="3">SUM(AM4:AO4)</f>
        <v>60</v>
      </c>
    </row>
    <row r="5" spans="2:47" ht="24" customHeight="1">
      <c r="B5" s="101">
        <v>3</v>
      </c>
      <c r="C5" s="377" t="str">
        <f>IF(GROUPS!D6="","",GROUPS!D6)</f>
        <v>Вања Спасиќ (448)</v>
      </c>
      <c r="D5" s="378"/>
      <c r="E5" s="379"/>
      <c r="F5" s="113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56</v>
      </c>
      <c r="Q5" s="111">
        <f>IF(AND(U9="",T14="",T18=""),"",AP5)</f>
        <v>78</v>
      </c>
      <c r="R5" s="380">
        <f>IF(ISERROR(IF(AND(U9="",T14="",T18=""),"",SUM(AB5:AD5)+(N5-O5)/1000)+(AK5/10000)+(AG5/100000)),"",IF(AND(U9="",T14="",T18=""),"",SUM(AB5:AD5)+(N5-O5)/1000)+(AK5/10000)+(AG5/100000))</f>
        <v>1.99336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56</v>
      </c>
      <c r="AH5" s="10">
        <f>G9+I9+K9+M9+O9+Q9+S9</f>
        <v>29</v>
      </c>
      <c r="AI5" s="10">
        <f>F14+H14+J14+L14+N14+P14+R14</f>
        <v>0</v>
      </c>
      <c r="AJ5" s="10">
        <f>F18+H18+J18+L18+N18+P18+R18</f>
        <v>27</v>
      </c>
      <c r="AK5" s="375">
        <f t="shared" si="2"/>
        <v>-22</v>
      </c>
      <c r="AL5" s="376"/>
      <c r="AM5" s="10">
        <f>AH3</f>
        <v>40</v>
      </c>
      <c r="AN5" s="10">
        <f>AI6</f>
        <v>0</v>
      </c>
      <c r="AO5" s="10">
        <f>AJ4</f>
        <v>38</v>
      </c>
      <c r="AP5" s="9">
        <f t="shared" si="3"/>
        <v>78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190</v>
      </c>
      <c r="Q7" s="127">
        <f>SUM(Q3:Q6)</f>
        <v>190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Вања Спасиќ (448)</v>
      </c>
      <c r="F9" s="132">
        <v>7</v>
      </c>
      <c r="G9" s="133">
        <v>11</v>
      </c>
      <c r="H9" s="134">
        <v>11</v>
      </c>
      <c r="I9" s="133">
        <v>7</v>
      </c>
      <c r="J9" s="132">
        <v>11</v>
      </c>
      <c r="K9" s="135">
        <v>2</v>
      </c>
      <c r="L9" s="134">
        <v>11</v>
      </c>
      <c r="M9" s="133">
        <v>9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Ѓорѓе Бораниев (365)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Ѓорѓе Бораниев (365)</v>
      </c>
      <c r="F13" s="132">
        <v>11</v>
      </c>
      <c r="G13" s="133">
        <v>9</v>
      </c>
      <c r="H13" s="134">
        <v>11</v>
      </c>
      <c r="I13" s="133">
        <v>5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Вања Спасиќ (448)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Вања Спасиќ (448)</v>
      </c>
      <c r="D18" s="140">
        <v>2</v>
      </c>
      <c r="E18" s="141" t="str">
        <f>IF(C4="","",VLOOKUP(D18,$B$3:$E$6,2,FALSE))</f>
        <v>Ѓорѓе Бораниев (365)</v>
      </c>
      <c r="F18" s="142">
        <v>9</v>
      </c>
      <c r="G18" s="143">
        <v>11</v>
      </c>
      <c r="H18" s="144">
        <v>4</v>
      </c>
      <c r="I18" s="143">
        <v>11</v>
      </c>
      <c r="J18" s="142">
        <v>14</v>
      </c>
      <c r="K18" s="145">
        <v>16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9" sqref="N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Филип Младеновски (70)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Филип Младеновски (70)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75</v>
      </c>
      <c r="Q3" s="111">
        <f>IF(AND(T9="",T13="",T17=""),"",AP3)</f>
        <v>27</v>
      </c>
      <c r="R3" s="380">
        <f>IF(ISERROR(IF(AND(T9="",T13="",T17=""),"",SUM(AB3:AD3)+(N3-O3)/1000)+(AK3/10000)),"",IF(AND(T9="",T13="",T17=""),"",SUM(AB3:AD3)+(N3-O3)/1000)+(AK3/10000)+(AG3/100000))</f>
        <v>4.0105500000000003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Борис Секулов (130)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75</v>
      </c>
      <c r="AH3" s="10">
        <f>F9+H9+J9+L9+N9+P9+R9</f>
        <v>42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48</v>
      </c>
      <c r="AL3" s="376"/>
      <c r="AM3" s="10">
        <f>AH5</f>
        <v>27</v>
      </c>
      <c r="AN3" s="10">
        <f>AI4</f>
        <v>0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77" t="str">
        <f>IF(GROUPS!F5="","",GROUPS!F5)</f>
        <v>Сашо Стојановски (35)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0</v>
      </c>
      <c r="Q4" s="111">
        <f>IF(AND(T10="",U13="",U18=""),"",AP4)</f>
        <v>66</v>
      </c>
      <c r="R4" s="380">
        <f>IF(ISERROR(IF(AND(T10="",U13="",U18=""),"",SUM(AB4:AD4)+(N4-O4)/1000)+(AK4/10000)+(AG4/100000)),"",IF(AND(T10="",U13="",U18=""),"",SUM(AB4:AD4)+(N4-O4)/1000)+(AK4/10000)+(AG4/100000))</f>
        <v>1.9874000000000001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Сашо Стојановски (35)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-66</v>
      </c>
      <c r="AL4" s="376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01">
        <v>3</v>
      </c>
      <c r="C5" s="377" t="str">
        <f>IF(GROUPS!F6="","",GROUPS!F6)</f>
        <v>Борис Секулов (130)</v>
      </c>
      <c r="D5" s="378"/>
      <c r="E5" s="379"/>
      <c r="F5" s="113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4</v>
      </c>
      <c r="O5" s="109">
        <f>IF(AND(U9="",T14="",T18=""),"",SUM(G5,I5,M5))</f>
        <v>3</v>
      </c>
      <c r="P5" s="110">
        <f>IF(AND(U9="",T14="",T18=""),"",AG5)</f>
        <v>60</v>
      </c>
      <c r="Q5" s="111">
        <f>IF(AND(U9="",T14="",T18=""),"",AP5)</f>
        <v>42</v>
      </c>
      <c r="R5" s="380">
        <f>IF(ISERROR(IF(AND(U9="",T14="",T18=""),"",SUM(AB5:AD5)+(N5-O5)/1000)+(AK5/10000)+(AG5/100000)),"",IF(AND(U9="",T14="",T18=""),"",SUM(AB5:AD5)+(N5-O5)/1000)+(AK5/10000)+(AG5/100000))</f>
        <v>3.0033999999999996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60</v>
      </c>
      <c r="AH5" s="10">
        <f>G9+I9+K9+M9+O9+Q9+S9</f>
        <v>27</v>
      </c>
      <c r="AI5" s="10">
        <f>F14+H14+J14+L14+N14+P14+R14</f>
        <v>0</v>
      </c>
      <c r="AJ5" s="10">
        <f>F18+H18+J18+L18+N18+P18+R18</f>
        <v>33</v>
      </c>
      <c r="AK5" s="375">
        <f t="shared" si="2"/>
        <v>18</v>
      </c>
      <c r="AL5" s="376"/>
      <c r="AM5" s="10">
        <f>AH3</f>
        <v>42</v>
      </c>
      <c r="AN5" s="10">
        <f>AI6</f>
        <v>0</v>
      </c>
      <c r="AO5" s="10">
        <f>AJ4</f>
        <v>0</v>
      </c>
      <c r="AP5" s="9">
        <f t="shared" si="3"/>
        <v>42</v>
      </c>
    </row>
    <row r="6" spans="2:47" ht="24" customHeight="1" thickBot="1">
      <c r="B6" s="116">
        <v>4</v>
      </c>
      <c r="C6" s="371" t="str">
        <f>IF(GROUPS!F7="","",GROUPS!F7)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135</v>
      </c>
      <c r="Q7" s="127">
        <f>SUM(Q3:Q6)</f>
        <v>135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Филип Младеновски (70)</v>
      </c>
      <c r="D9" s="130">
        <v>3</v>
      </c>
      <c r="E9" s="131" t="str">
        <f>IF(C5="","",VLOOKUP(D9,$B$3:$E$6,2,FALSE))</f>
        <v>Борис Секулов (130)</v>
      </c>
      <c r="F9" s="132">
        <v>11</v>
      </c>
      <c r="G9" s="133">
        <v>3</v>
      </c>
      <c r="H9" s="134">
        <v>11</v>
      </c>
      <c r="I9" s="133">
        <v>7</v>
      </c>
      <c r="J9" s="132">
        <v>9</v>
      </c>
      <c r="K9" s="135">
        <v>11</v>
      </c>
      <c r="L9" s="134">
        <v>11</v>
      </c>
      <c r="M9" s="133">
        <v>6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Сашо Стојановски (35)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Филип Младеновски (70)</v>
      </c>
      <c r="D13" s="130">
        <v>2</v>
      </c>
      <c r="E13" s="131" t="str">
        <f>IF(C4="","",VLOOKUP(D13,$B$3:$E$6,2,FALSE))</f>
        <v>Сашо Стојановски (35)</v>
      </c>
      <c r="F13" s="132">
        <v>11</v>
      </c>
      <c r="G13" s="133">
        <v>0</v>
      </c>
      <c r="H13" s="134">
        <v>11</v>
      </c>
      <c r="I13" s="133">
        <v>0</v>
      </c>
      <c r="J13" s="132">
        <v>11</v>
      </c>
      <c r="K13" s="135">
        <v>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Борис Секулов (130)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Борис Секулов (130)</v>
      </c>
      <c r="D18" s="140">
        <v>2</v>
      </c>
      <c r="E18" s="141" t="str">
        <f>IF(C4="","",VLOOKUP(D18,$B$3:$E$6,2,FALSE))</f>
        <v>Сашо Стојановски (35)</v>
      </c>
      <c r="F18" s="142">
        <v>11</v>
      </c>
      <c r="G18" s="143">
        <v>0</v>
      </c>
      <c r="H18" s="144">
        <v>11</v>
      </c>
      <c r="I18" s="143">
        <v>0</v>
      </c>
      <c r="J18" s="142">
        <v>11</v>
      </c>
      <c r="K18" s="145">
        <v>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Лука Огненоски (15)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Венко Стојанов (49)</v>
      </c>
      <c r="D3" s="378"/>
      <c r="E3" s="379"/>
      <c r="F3" s="102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7</v>
      </c>
      <c r="O3" s="109">
        <f>IF(AND(T9="",T13="",T17=""),"",SUM(I3,K3,M3))</f>
        <v>4</v>
      </c>
      <c r="P3" s="110">
        <f>IF(AND(T9="",T13="",T17=""),"",AG3)</f>
        <v>106</v>
      </c>
      <c r="Q3" s="111">
        <f>IF(AND(T9="",T13="",T17=""),"",AP3)</f>
        <v>76</v>
      </c>
      <c r="R3" s="380">
        <f>IF(ISERROR(IF(AND(T9="",T13="",T17=""),"",SUM(AB3:AD3)+(N3-O3)/1000)+(AK3/10000)),"",IF(AND(T9="",T13="",T17=""),"",SUM(AB3:AD3)+(N3-O3)/1000)+(AK3/10000)+(AG3/100000))</f>
        <v>5.0070600000000001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Венко Стојанов (49)</v>
      </c>
      <c r="Y3" s="385"/>
      <c r="Z3" s="38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106</v>
      </c>
      <c r="AH3" s="10">
        <f>F9+H9+J9+L9+N9+P9+R9</f>
        <v>33</v>
      </c>
      <c r="AI3" s="10">
        <f>F13+H13+J13+L13+N13+P13+R13</f>
        <v>32</v>
      </c>
      <c r="AJ3" s="10">
        <f>F17+H17+J17+L17+N17+P17+R17</f>
        <v>41</v>
      </c>
      <c r="AK3" s="375">
        <f>SUM(AH3:AJ3)-SUM(AM3:AO3)</f>
        <v>30</v>
      </c>
      <c r="AL3" s="376"/>
      <c r="AM3" s="10">
        <f>AH5</f>
        <v>0</v>
      </c>
      <c r="AN3" s="10">
        <f>AI4</f>
        <v>41</v>
      </c>
      <c r="AO3" s="10">
        <f>AJ6</f>
        <v>35</v>
      </c>
      <c r="AP3" s="9">
        <f>SUM(AM3:AO3)</f>
        <v>76</v>
      </c>
    </row>
    <row r="4" spans="2:47" ht="24" customHeight="1">
      <c r="B4" s="101">
        <v>2</v>
      </c>
      <c r="C4" s="377" t="str">
        <f>IF(GROUPS!H5="","",GROUPS!H5)</f>
        <v>Лука Огненоски (15)</v>
      </c>
      <c r="D4" s="378"/>
      <c r="E4" s="379"/>
      <c r="F4" s="113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2</v>
      </c>
      <c r="M4" s="115">
        <f>U10</f>
        <v>3</v>
      </c>
      <c r="N4" s="108">
        <f>IF(AND(T10="",U13="",U18=""),"",SUM(F4,J4,L4))</f>
        <v>8</v>
      </c>
      <c r="O4" s="109">
        <f>IF(AND(T10="",U13="",U18=""),"",SUM(G4,K4,M4))</f>
        <v>4</v>
      </c>
      <c r="P4" s="110">
        <f>IF(AND(T10="",U13="",U18=""),"",AG4)</f>
        <v>112</v>
      </c>
      <c r="Q4" s="111">
        <f>IF(AND(T10="",U13="",U18=""),"",AP4)</f>
        <v>76</v>
      </c>
      <c r="R4" s="380">
        <f>IF(ISERROR(IF(AND(T10="",U13="",U18=""),"",SUM(AB4:AD4)+(N4-O4)/1000)+(AK4/10000)+(AG4/100000)),"",IF(AND(T10="",U13="",U18=""),"",SUM(AB4:AD4)+(N4-O4)/1000)+(AK4/10000)+(AG4/100000))</f>
        <v>5.0087199999999994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Филе Матевски (7)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1</v>
      </c>
      <c r="AE4" s="182"/>
      <c r="AG4" s="11">
        <f t="shared" ref="AG4:AG6" si="1">SUM(AH4:AJ4)</f>
        <v>112</v>
      </c>
      <c r="AH4" s="10">
        <f>F10+H10+J10+L10+N10+P10+R10</f>
        <v>38</v>
      </c>
      <c r="AI4" s="10">
        <f>G13+I13+K13+M13+O13+Q13+S13</f>
        <v>41</v>
      </c>
      <c r="AJ4" s="10">
        <f>G18+I18+K18+M18+O18+Q18+S18</f>
        <v>33</v>
      </c>
      <c r="AK4" s="375">
        <f t="shared" ref="AK4:AK6" si="2">SUM(AH4:AJ4)-SUM(AM4:AO4)</f>
        <v>36</v>
      </c>
      <c r="AL4" s="376"/>
      <c r="AM4" s="10">
        <f>AH6</f>
        <v>44</v>
      </c>
      <c r="AN4" s="10">
        <f>AI3</f>
        <v>32</v>
      </c>
      <c r="AO4" s="10">
        <f>AJ5</f>
        <v>0</v>
      </c>
      <c r="AP4" s="9">
        <f t="shared" ref="AP4:AP6" si="3">SUM(AM4:AO4)</f>
        <v>76</v>
      </c>
    </row>
    <row r="5" spans="2:47" ht="24" customHeight="1">
      <c r="B5" s="101">
        <v>3</v>
      </c>
      <c r="C5" s="377" t="str">
        <f>IF(GROUPS!H6="","",GROUPS!H6)</f>
        <v>Славчо Спасеноски  (278)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0</v>
      </c>
      <c r="Q5" s="111">
        <f>IF(AND(U9="",T14="",T18=""),"",AP5)</f>
        <v>99</v>
      </c>
      <c r="R5" s="380">
        <f>IF(ISERROR(IF(AND(U9="",T14="",T18=""),"",SUM(AB5:AD5)+(N5-O5)/1000)+(AK5/10000)+(AG5/100000)),"",IF(AND(U9="",T14="",T18=""),"",SUM(AB5:AD5)+(N5-O5)/1000)+(AK5/10000)+(AG5/100000))</f>
        <v>2.9811000000000001</v>
      </c>
      <c r="S5" s="380"/>
      <c r="T5" s="112">
        <f>IF(ISERROR(IF(C5="","",RANK(R5,$R$3:$S$6,0))),"",IF(C5="","",RANK(R5,$R$3:$S$6,0)))</f>
        <v>4</v>
      </c>
      <c r="U5" s="9"/>
      <c r="V5" s="9"/>
      <c r="W5" s="7">
        <v>4</v>
      </c>
      <c r="X5" s="381" t="str">
        <f t="shared" si="0"/>
        <v>Славчо Спасеноски  (278)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-99</v>
      </c>
      <c r="AL5" s="376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71" t="str">
        <f>IF(GROUPS!H7="","",GROUPS!H7)</f>
        <v>Филе Матевски (7)</v>
      </c>
      <c r="D6" s="372"/>
      <c r="E6" s="373"/>
      <c r="F6" s="117">
        <f>U17</f>
        <v>1</v>
      </c>
      <c r="G6" s="118">
        <f>T17</f>
        <v>3</v>
      </c>
      <c r="H6" s="119">
        <f>U10</f>
        <v>3</v>
      </c>
      <c r="I6" s="118">
        <f>T10</f>
        <v>2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7</v>
      </c>
      <c r="O6" s="123">
        <f>IF(AND(U10="",U14="",U17=""),"",SUM(G6,I6,K6))</f>
        <v>5</v>
      </c>
      <c r="P6" s="124">
        <f>IF(AND(U10="",U14="",U17=""),"",AG6)</f>
        <v>112</v>
      </c>
      <c r="Q6" s="125">
        <f>IF(AND(U10="",U14="",U17=""),"",AP6)</f>
        <v>79</v>
      </c>
      <c r="R6" s="374">
        <f>IF(ISERROR(IF(AND(U10="",U14="",U17=""),"",SUM(AB6:AD6)+(N6-O6)/1000)+(AK6/10000)+(AG6/100000)),"",IF(AND(U10="",U14="",U17=""),"",SUM(AB6:AD6)+(N6-O6)/1000)+(AK6/10000)+(AG6/100000))</f>
        <v>5.0064200000000003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112</v>
      </c>
      <c r="AH6" s="10">
        <f>G10+I10+K10+M10+O10+Q10+S10</f>
        <v>44</v>
      </c>
      <c r="AI6" s="10">
        <f>G14+I14+K14+M14+O14+Q14+S14</f>
        <v>33</v>
      </c>
      <c r="AJ6" s="10">
        <f>G17+I17+K17+M17+O17+Q17+S17</f>
        <v>35</v>
      </c>
      <c r="AK6" s="375">
        <f t="shared" si="2"/>
        <v>33</v>
      </c>
      <c r="AL6" s="376"/>
      <c r="AM6" s="10">
        <f>AH4</f>
        <v>38</v>
      </c>
      <c r="AN6" s="10">
        <f>AI5</f>
        <v>0</v>
      </c>
      <c r="AO6" s="10">
        <f>AJ3</f>
        <v>41</v>
      </c>
      <c r="AP6" s="9">
        <f t="shared" si="3"/>
        <v>79</v>
      </c>
    </row>
    <row r="7" spans="2:47" ht="18.600000000000001" thickBot="1">
      <c r="P7" s="127">
        <f>SUM(P3:P6)</f>
        <v>330</v>
      </c>
      <c r="Q7" s="127">
        <f>SUM(Q3:Q6)</f>
        <v>330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Венко Стојанов (49)</v>
      </c>
      <c r="D9" s="130">
        <v>3</v>
      </c>
      <c r="E9" s="131" t="str">
        <f>IF(C5="","",VLOOKUP(D9,$B$3:$E$6,2,FALSE))</f>
        <v>Славчо Спасеноски  (278)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>Филе Матевски (7)</v>
      </c>
      <c r="F10" s="142">
        <v>11</v>
      </c>
      <c r="G10" s="143">
        <v>5</v>
      </c>
      <c r="H10" s="144">
        <v>11</v>
      </c>
      <c r="I10" s="143">
        <v>6</v>
      </c>
      <c r="J10" s="142">
        <v>1</v>
      </c>
      <c r="K10" s="145">
        <v>11</v>
      </c>
      <c r="L10" s="144">
        <v>7</v>
      </c>
      <c r="M10" s="143">
        <v>11</v>
      </c>
      <c r="N10" s="142">
        <v>8</v>
      </c>
      <c r="O10" s="145">
        <v>11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2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0</v>
      </c>
      <c r="AK10" s="10">
        <f>IF(O10="","",IF(O10&gt;N10,1,0))</f>
        <v>1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Венко Стојанов (49)</v>
      </c>
      <c r="D13" s="130">
        <v>2</v>
      </c>
      <c r="E13" s="131" t="str">
        <f>IF(C4="","",VLOOKUP(D13,$B$3:$E$6,2,FALSE))</f>
        <v>Лука Огненоски (15)</v>
      </c>
      <c r="F13" s="132">
        <v>8</v>
      </c>
      <c r="G13" s="133">
        <v>11</v>
      </c>
      <c r="H13" s="134">
        <v>8</v>
      </c>
      <c r="I13" s="133">
        <v>11</v>
      </c>
      <c r="J13" s="132">
        <v>11</v>
      </c>
      <c r="K13" s="135">
        <v>8</v>
      </c>
      <c r="L13" s="134">
        <v>5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Славчо Спасеноски  (278)</v>
      </c>
      <c r="D14" s="140">
        <v>4</v>
      </c>
      <c r="E14" s="141" t="str">
        <f>IF(C6="","",VLOOKUP(D14,$B$3:$E$6,2,FALSE))</f>
        <v>Филе Матевски (7)</v>
      </c>
      <c r="F14" s="142">
        <v>0</v>
      </c>
      <c r="G14" s="143">
        <v>11</v>
      </c>
      <c r="H14" s="144">
        <v>0</v>
      </c>
      <c r="I14" s="143">
        <v>11</v>
      </c>
      <c r="J14" s="142">
        <v>0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Венко Стојанов (49)</v>
      </c>
      <c r="D17" s="130">
        <v>4</v>
      </c>
      <c r="E17" s="131" t="str">
        <f>IF(C6="","",VLOOKUP(D17,$B$3:$E$6,2,FALSE))</f>
        <v>Филе Матевски (7)</v>
      </c>
      <c r="F17" s="132">
        <v>11</v>
      </c>
      <c r="G17" s="133">
        <v>7</v>
      </c>
      <c r="H17" s="134">
        <v>8</v>
      </c>
      <c r="I17" s="133">
        <v>11</v>
      </c>
      <c r="J17" s="132">
        <v>11</v>
      </c>
      <c r="K17" s="135">
        <v>9</v>
      </c>
      <c r="L17" s="134">
        <v>11</v>
      </c>
      <c r="M17" s="133">
        <v>8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Славчо Спасеноски  (278)</v>
      </c>
      <c r="D18" s="140">
        <v>2</v>
      </c>
      <c r="E18" s="141" t="str">
        <f>IF(C4="","",VLOOKUP(D18,$B$3:$E$6,2,FALSE))</f>
        <v>Лука Огненоски (15)</v>
      </c>
      <c r="F18" s="142">
        <v>0</v>
      </c>
      <c r="G18" s="143">
        <v>11</v>
      </c>
      <c r="H18" s="144">
        <v>0</v>
      </c>
      <c r="I18" s="143">
        <v>11</v>
      </c>
      <c r="J18" s="142">
        <v>0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L17" sqref="L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Кристијан Станојковски (10)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>Кристијан Станојковски (10)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41</v>
      </c>
      <c r="R3" s="380">
        <f>IF(ISERROR(IF(AND(T9="",T13="",T17=""),"",SUM(AB3:AD3)+(N3-O3)/1000)+(AK3/10000)),"",IF(AND(T9="",T13="",T17=""),"",SUM(AB3:AD3)+(N3-O3)/1000)+(AK3/10000)+(AG3/100000))</f>
        <v>6.01579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Милчо Чачаров (50)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58</v>
      </c>
      <c r="AL3" s="376"/>
      <c r="AM3" s="10">
        <f>AH5</f>
        <v>21</v>
      </c>
      <c r="AN3" s="10">
        <f>AI4</f>
        <v>0</v>
      </c>
      <c r="AO3" s="10">
        <f>AJ6</f>
        <v>20</v>
      </c>
      <c r="AP3" s="9">
        <f>SUM(AM3:AO3)</f>
        <v>41</v>
      </c>
    </row>
    <row r="4" spans="2:47" ht="24" customHeight="1">
      <c r="B4" s="200">
        <v>2</v>
      </c>
      <c r="C4" s="409" t="str">
        <f>IF(GROUPS!J5="","",GROUPS!J5)</f>
        <v>Сашко Богатинов (69)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0</v>
      </c>
      <c r="Q4" s="111">
        <f>IF(AND(T10="",U13="",U18=""),"",AP4)</f>
        <v>99</v>
      </c>
      <c r="R4" s="380">
        <f>IF(ISERROR(IF(AND(T10="",U13="",U18=""),"",SUM(AB4:AD4)+(N4-O4)/1000)+(AK4/10000)+(AG4/100000)),"",IF(AND(T10="",U13="",U18=""),"",SUM(AB4:AD4)+(N4-O4)/1000)+(AK4/10000)+(AG4/100000))</f>
        <v>2.9811000000000001</v>
      </c>
      <c r="S4" s="380"/>
      <c r="T4" s="112">
        <f>IF(ISERROR(IF(C4="","",RANK(R4,$R$3:$S$6,0))),"",IF(C4="","",RANK(R4,$R$3:$S$6,0)))</f>
        <v>4</v>
      </c>
      <c r="U4" s="9"/>
      <c r="V4" s="9"/>
      <c r="W4" s="7">
        <v>3</v>
      </c>
      <c r="X4" s="381" t="str">
        <f t="shared" si="0"/>
        <v>Дарко Китановски (499)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-99</v>
      </c>
      <c r="AL4" s="376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200">
        <v>3</v>
      </c>
      <c r="C5" s="409" t="str">
        <f>IF(GROUPS!J6="","",GROUPS!J6)</f>
        <v>Дарко Китановски (499)</v>
      </c>
      <c r="D5" s="409"/>
      <c r="E5" s="410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78</v>
      </c>
      <c r="Q5" s="111">
        <f>IF(AND(U9="",T14="",T18=""),"",AP5)</f>
        <v>73</v>
      </c>
      <c r="R5" s="380">
        <f>IF(ISERROR(IF(AND(U9="",T14="",T18=""),"",SUM(AB5:AD5)+(N5-O5)/1000)+(AK5/10000)+(AG5/100000)),"",IF(AND(U9="",T14="",T18=""),"",SUM(AB5:AD5)+(N5-O5)/1000)+(AK5/10000)+(AG5/100000))</f>
        <v>3.9992800000000002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Сашко Богатинов (69)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182"/>
      <c r="AG5" s="11">
        <f t="shared" si="1"/>
        <v>78</v>
      </c>
      <c r="AH5" s="10">
        <f>G9+I9+K9+M9+O9+Q9+S9</f>
        <v>21</v>
      </c>
      <c r="AI5" s="10">
        <f>F14+H14+J14+L14+N14+P14+R14</f>
        <v>24</v>
      </c>
      <c r="AJ5" s="10">
        <f>F18+H18+J18+L18+N18+P18+R18</f>
        <v>33</v>
      </c>
      <c r="AK5" s="375">
        <f t="shared" si="2"/>
        <v>5</v>
      </c>
      <c r="AL5" s="376"/>
      <c r="AM5" s="10">
        <f>AH3</f>
        <v>33</v>
      </c>
      <c r="AN5" s="10">
        <f>AI6</f>
        <v>40</v>
      </c>
      <c r="AO5" s="10">
        <f>AJ4</f>
        <v>0</v>
      </c>
      <c r="AP5" s="9">
        <f t="shared" si="3"/>
        <v>73</v>
      </c>
    </row>
    <row r="6" spans="2:47" ht="24" customHeight="1" thickBot="1">
      <c r="B6" s="201">
        <v>4</v>
      </c>
      <c r="C6" s="414" t="str">
        <f>IF(GROUPS!J7="","",GROUPS!J7)</f>
        <v>Милчо Чачаров (50)</v>
      </c>
      <c r="D6" s="414"/>
      <c r="E6" s="415"/>
      <c r="F6" s="199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6</v>
      </c>
      <c r="O6" s="123">
        <f>IF(AND(U10="",U14="",U17=""),"",SUM(G6,I6,K6))</f>
        <v>4</v>
      </c>
      <c r="P6" s="124">
        <f>IF(AND(U10="",U14="",U17=""),"",AG6)</f>
        <v>93</v>
      </c>
      <c r="Q6" s="125">
        <f>IF(AND(U10="",U14="",U17=""),"",AP6)</f>
        <v>57</v>
      </c>
      <c r="R6" s="374">
        <f>IF(ISERROR(IF(AND(U10="",U14="",U17=""),"",SUM(AB6:AD6)+(N6-O6)/1000)+(AK6/10000)+(AG6/100000)),"",IF(AND(U10="",U14="",U17=""),"",SUM(AB6:AD6)+(N6-O6)/1000)+(AK6/10000)+(AG6/100000))</f>
        <v>5.0065299999999997</v>
      </c>
      <c r="S6" s="374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93</v>
      </c>
      <c r="AH6" s="10">
        <f>G10+I10+K10+M10+O10+Q10+S10</f>
        <v>33</v>
      </c>
      <c r="AI6" s="10">
        <f>G14+I14+K14+M14+O14+Q14+S14</f>
        <v>40</v>
      </c>
      <c r="AJ6" s="10">
        <f>G17+I17+K17+M17+O17+Q17+S17</f>
        <v>20</v>
      </c>
      <c r="AK6" s="375">
        <f t="shared" si="2"/>
        <v>36</v>
      </c>
      <c r="AL6" s="376"/>
      <c r="AM6" s="10">
        <f>AH4</f>
        <v>0</v>
      </c>
      <c r="AN6" s="10">
        <f>AI5</f>
        <v>24</v>
      </c>
      <c r="AO6" s="10">
        <f>AJ3</f>
        <v>33</v>
      </c>
      <c r="AP6" s="9">
        <f t="shared" si="3"/>
        <v>57</v>
      </c>
    </row>
    <row r="7" spans="2:47" ht="18.600000000000001" thickBot="1">
      <c r="P7" s="127">
        <f>SUM(P3:P6)</f>
        <v>270</v>
      </c>
      <c r="Q7" s="127">
        <f>SUM(Q3:Q6)</f>
        <v>270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Кристијан Станојковски (10)</v>
      </c>
      <c r="D9" s="130">
        <v>3</v>
      </c>
      <c r="E9" s="131" t="str">
        <f>IF(C5="","",VLOOKUP(D9,$B$3:$E$6,2,FALSE))</f>
        <v>Дарко Китановски (499)</v>
      </c>
      <c r="F9" s="132">
        <v>11</v>
      </c>
      <c r="G9" s="133">
        <v>8</v>
      </c>
      <c r="H9" s="134">
        <v>11</v>
      </c>
      <c r="I9" s="133">
        <v>8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Сашко Богатинов (69)</v>
      </c>
      <c r="D10" s="140">
        <v>4</v>
      </c>
      <c r="E10" s="141" t="str">
        <f>IF(C6="","",VLOOKUP(D10,$B$3:$E$6,2,FALSE))</f>
        <v>Милчо Чачаров (50)</v>
      </c>
      <c r="F10" s="142">
        <v>0</v>
      </c>
      <c r="G10" s="143">
        <v>11</v>
      </c>
      <c r="H10" s="144">
        <v>0</v>
      </c>
      <c r="I10" s="143">
        <v>11</v>
      </c>
      <c r="J10" s="142">
        <v>0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Кристијан Станојковски (10)</v>
      </c>
      <c r="D13" s="130">
        <v>2</v>
      </c>
      <c r="E13" s="131" t="str">
        <f>IF(C4="","",VLOOKUP(D13,$B$3:$E$6,2,FALSE))</f>
        <v>Сашко Богатинов (69)</v>
      </c>
      <c r="F13" s="132">
        <v>11</v>
      </c>
      <c r="G13" s="133">
        <v>0</v>
      </c>
      <c r="H13" s="134">
        <v>11</v>
      </c>
      <c r="I13" s="133">
        <v>0</v>
      </c>
      <c r="J13" s="132">
        <v>11</v>
      </c>
      <c r="K13" s="135">
        <v>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Дарко Китановски (499)</v>
      </c>
      <c r="D14" s="140">
        <v>4</v>
      </c>
      <c r="E14" s="141" t="str">
        <f>IF(C6="","",VLOOKUP(D14,$B$3:$E$6,2,FALSE))</f>
        <v>Милчо Чачаров (50)</v>
      </c>
      <c r="F14" s="142">
        <v>7</v>
      </c>
      <c r="G14" s="143">
        <v>11</v>
      </c>
      <c r="H14" s="144">
        <v>11</v>
      </c>
      <c r="I14" s="143">
        <v>7</v>
      </c>
      <c r="J14" s="142">
        <v>3</v>
      </c>
      <c r="K14" s="145">
        <v>11</v>
      </c>
      <c r="L14" s="144">
        <v>3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Кристијан Станојковски (10)</v>
      </c>
      <c r="D17" s="130">
        <v>4</v>
      </c>
      <c r="E17" s="131" t="str">
        <f>IF(C6="","",VLOOKUP(D17,$B$3:$E$6,2,FALSE))</f>
        <v>Милчо Чачаров (50)</v>
      </c>
      <c r="F17" s="132">
        <v>11</v>
      </c>
      <c r="G17" s="133">
        <v>9</v>
      </c>
      <c r="H17" s="134">
        <v>11</v>
      </c>
      <c r="I17" s="133">
        <v>9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Дарко Китановски (499)</v>
      </c>
      <c r="D18" s="140">
        <v>2</v>
      </c>
      <c r="E18" s="141" t="str">
        <f>IF(C4="","",VLOOKUP(D18,$B$3:$E$6,2,FALSE))</f>
        <v>Сашко Богатинов (69)</v>
      </c>
      <c r="F18" s="142">
        <v>11</v>
      </c>
      <c r="G18" s="143">
        <v>0</v>
      </c>
      <c r="H18" s="144">
        <v>11</v>
      </c>
      <c r="I18" s="143">
        <v>0</v>
      </c>
      <c r="J18" s="142">
        <v>11</v>
      </c>
      <c r="K18" s="145">
        <v>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Христијан Јовановски  (2)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>Христијан Јовановски  (2)</v>
      </c>
      <c r="D3" s="409"/>
      <c r="E3" s="410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111</v>
      </c>
      <c r="Q3" s="111">
        <f>IF(AND(T9="",T13="",T17=""),"",AP3)</f>
        <v>66</v>
      </c>
      <c r="R3" s="380">
        <f>IF(ISERROR(IF(AND(T9="",T13="",T17=""),"",SUM(AB3:AD3)+(N3-O3)/1000)+(AK3/10000)),"",IF(AND(T9="",T13="",T17=""),"",SUM(AB3:AD3)+(N3-O3)/1000)+(AK3/10000)+(AG3/100000))</f>
        <v>6.0126099999999996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Александар Јакимовски (178)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111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33</v>
      </c>
      <c r="AK3" s="375">
        <f>SUM(AH3:AJ3)-SUM(AM3:AO3)</f>
        <v>45</v>
      </c>
      <c r="AL3" s="376"/>
      <c r="AM3" s="10">
        <f>AH5</f>
        <v>10</v>
      </c>
      <c r="AN3" s="10">
        <f>AI4</f>
        <v>45</v>
      </c>
      <c r="AO3" s="10">
        <f>AJ6</f>
        <v>11</v>
      </c>
      <c r="AP3" s="9">
        <f>SUM(AM3:AO3)</f>
        <v>66</v>
      </c>
    </row>
    <row r="4" spans="2:47" ht="24" customHeight="1">
      <c r="B4" s="200">
        <v>2</v>
      </c>
      <c r="C4" s="409" t="str">
        <f>IF(GROUPS!D10="","",GROUPS!D10)</f>
        <v>Александар Јакимовски (178)</v>
      </c>
      <c r="D4" s="409"/>
      <c r="E4" s="410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4</v>
      </c>
      <c r="P4" s="110">
        <f>IF(AND(T10="",U13="",U18=""),"",AG4)</f>
        <v>124</v>
      </c>
      <c r="Q4" s="111">
        <f>IF(AND(T10="",U13="",U18=""),"",AP4)</f>
        <v>81</v>
      </c>
      <c r="R4" s="380">
        <f>IF(ISERROR(IF(AND(T10="",U13="",U18=""),"",SUM(AB4:AD4)+(N4-O4)/1000)+(AK4/10000)+(AG4/100000)),"",IF(AND(T10="",U13="",U18=""),"",SUM(AB4:AD4)+(N4-O4)/1000)+(AK4/10000)+(AG4/100000))</f>
        <v>5.0095399999999994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Игор Николовски (84)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124</v>
      </c>
      <c r="AH4" s="10">
        <f>F10+H10+J10+L10+N10+P10+R10</f>
        <v>33</v>
      </c>
      <c r="AI4" s="10">
        <f>G13+I13+K13+M13+O13+Q13+S13</f>
        <v>45</v>
      </c>
      <c r="AJ4" s="10">
        <f>G18+I18+K18+M18+O18+Q18+S18</f>
        <v>46</v>
      </c>
      <c r="AK4" s="375">
        <f t="shared" ref="AK4:AK6" si="2">SUM(AH4:AJ4)-SUM(AM4:AO4)</f>
        <v>43</v>
      </c>
      <c r="AL4" s="376"/>
      <c r="AM4" s="10">
        <f>AH6</f>
        <v>5</v>
      </c>
      <c r="AN4" s="10">
        <f>AI3</f>
        <v>45</v>
      </c>
      <c r="AO4" s="10">
        <f>AJ5</f>
        <v>31</v>
      </c>
      <c r="AP4" s="9">
        <f t="shared" ref="AP4:AP6" si="3">SUM(AM4:AO4)</f>
        <v>81</v>
      </c>
    </row>
    <row r="5" spans="2:47" ht="24" customHeight="1">
      <c r="B5" s="200">
        <v>3</v>
      </c>
      <c r="C5" s="409" t="str">
        <f>IF(GROUPS!D11="","",GROUPS!D11)</f>
        <v>Игор Николовски (84)</v>
      </c>
      <c r="D5" s="409"/>
      <c r="E5" s="410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74</v>
      </c>
      <c r="Q5" s="111">
        <f>IF(AND(U9="",T14="",T18=""),"",AP5)</f>
        <v>97</v>
      </c>
      <c r="R5" s="380">
        <f>IF(ISERROR(IF(AND(U9="",T14="",T18=""),"",SUM(AB5:AD5)+(N5-O5)/1000)+(AK5/10000)+(AG5/100000)),"",IF(AND(U9="",T14="",T18=""),"",SUM(AB5:AD5)+(N5-O5)/1000)+(AK5/10000)+(AG5/100000))</f>
        <v>3.9964400000000002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Златко Крстевски (248)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74</v>
      </c>
      <c r="AH5" s="10">
        <f>G9+I9+K9+M9+O9+Q9+S9</f>
        <v>10</v>
      </c>
      <c r="AI5" s="10">
        <f>F14+H14+J14+L14+N14+P14+R14</f>
        <v>33</v>
      </c>
      <c r="AJ5" s="10">
        <f>F18+H18+J18+L18+N18+P18+R18</f>
        <v>31</v>
      </c>
      <c r="AK5" s="375">
        <f t="shared" si="2"/>
        <v>-23</v>
      </c>
      <c r="AL5" s="376"/>
      <c r="AM5" s="10">
        <f>AH3</f>
        <v>33</v>
      </c>
      <c r="AN5" s="10">
        <f>AI6</f>
        <v>18</v>
      </c>
      <c r="AO5" s="10">
        <f>AJ4</f>
        <v>46</v>
      </c>
      <c r="AP5" s="9">
        <f t="shared" si="3"/>
        <v>97</v>
      </c>
    </row>
    <row r="6" spans="2:47" ht="24" customHeight="1" thickBot="1">
      <c r="B6" s="201">
        <v>4</v>
      </c>
      <c r="C6" s="414" t="str">
        <f>IF(GROUPS!D12="","",GROUPS!D12)</f>
        <v>Златко Крстевски (248)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34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2.9848400000000002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34</v>
      </c>
      <c r="AH6" s="10">
        <f>G10+I10+K10+M10+O10+Q10+S10</f>
        <v>5</v>
      </c>
      <c r="AI6" s="10">
        <f>G14+I14+K14+M14+O14+Q14+S14</f>
        <v>18</v>
      </c>
      <c r="AJ6" s="10">
        <f>G17+I17+K17+M17+O17+Q17+S17</f>
        <v>11</v>
      </c>
      <c r="AK6" s="375">
        <f t="shared" si="2"/>
        <v>-65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343</v>
      </c>
      <c r="Q7" s="127">
        <f>SUM(Q3:Q6)</f>
        <v>343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Христијан Јовановски  (2)</v>
      </c>
      <c r="D9" s="130">
        <v>3</v>
      </c>
      <c r="E9" s="131" t="str">
        <f>IF(C5="","",VLOOKUP(D9,$B$3:$E$6,2,FALSE))</f>
        <v>Игор Николовски (84)</v>
      </c>
      <c r="F9" s="132">
        <v>11</v>
      </c>
      <c r="G9" s="133">
        <v>1</v>
      </c>
      <c r="H9" s="134">
        <v>11</v>
      </c>
      <c r="I9" s="133">
        <v>5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Александар Јакимовски (178)</v>
      </c>
      <c r="D10" s="140">
        <v>4</v>
      </c>
      <c r="E10" s="141" t="str">
        <f>IF(C6="","",VLOOKUP(D10,$B$3:$E$6,2,FALSE))</f>
        <v>Златко Крстевски (248)</v>
      </c>
      <c r="F10" s="142">
        <v>11</v>
      </c>
      <c r="G10" s="143">
        <v>2</v>
      </c>
      <c r="H10" s="144">
        <v>11</v>
      </c>
      <c r="I10" s="143">
        <v>1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Христијан Јовановски  (2)</v>
      </c>
      <c r="D13" s="130">
        <v>2</v>
      </c>
      <c r="E13" s="131" t="str">
        <f>IF(C4="","",VLOOKUP(D13,$B$3:$E$6,2,FALSE))</f>
        <v>Александар Јакимовски (178)</v>
      </c>
      <c r="F13" s="132">
        <v>8</v>
      </c>
      <c r="G13" s="133">
        <v>11</v>
      </c>
      <c r="H13" s="134">
        <v>11</v>
      </c>
      <c r="I13" s="133">
        <v>9</v>
      </c>
      <c r="J13" s="132">
        <v>11</v>
      </c>
      <c r="K13" s="135">
        <v>6</v>
      </c>
      <c r="L13" s="134">
        <v>4</v>
      </c>
      <c r="M13" s="133">
        <v>11</v>
      </c>
      <c r="N13" s="132">
        <v>11</v>
      </c>
      <c r="O13" s="135">
        <v>8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Игор Николовски (84)</v>
      </c>
      <c r="D14" s="140">
        <v>4</v>
      </c>
      <c r="E14" s="141" t="str">
        <f>IF(C6="","",VLOOKUP(D14,$B$3:$E$6,2,FALSE))</f>
        <v>Златко Крстевски (248)</v>
      </c>
      <c r="F14" s="142">
        <v>11</v>
      </c>
      <c r="G14" s="143">
        <v>7</v>
      </c>
      <c r="H14" s="144">
        <v>11</v>
      </c>
      <c r="I14" s="143">
        <v>3</v>
      </c>
      <c r="J14" s="142">
        <v>11</v>
      </c>
      <c r="K14" s="145">
        <v>8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Христијан Јовановски  (2)</v>
      </c>
      <c r="D17" s="130">
        <v>4</v>
      </c>
      <c r="E17" s="131" t="str">
        <f>IF(C6="","",VLOOKUP(D17,$B$3:$E$6,2,FALSE))</f>
        <v>Златко Крстевски (248)</v>
      </c>
      <c r="F17" s="132">
        <v>11</v>
      </c>
      <c r="G17" s="133">
        <v>1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Игор Николовски (84)</v>
      </c>
      <c r="D18" s="140">
        <v>2</v>
      </c>
      <c r="E18" s="141" t="str">
        <f>IF(C4="","",VLOOKUP(D18,$B$3:$E$6,2,FALSE))</f>
        <v>Александар Јакимовски (178)</v>
      </c>
      <c r="F18" s="142">
        <v>6</v>
      </c>
      <c r="G18" s="143">
        <v>11</v>
      </c>
      <c r="H18" s="144">
        <v>15</v>
      </c>
      <c r="I18" s="143">
        <v>13</v>
      </c>
      <c r="J18" s="142">
        <v>4</v>
      </c>
      <c r="K18" s="145">
        <v>11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Алeксандар Марковиќ (3)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>Алeксандар Марковиќ (3)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31</v>
      </c>
      <c r="R3" s="380">
        <f>IF(ISERROR(IF(AND(T9="",T13="",T17=""),"",SUM(AB3:AD3)+(N3-O3)/1000)+(AK3/10000)),"",IF(AND(T9="",T13="",T17=""),"",SUM(AB3:AD3)+(N3-O3)/1000)+(AK3/10000)+(AG3/100000))</f>
        <v>6.0167900000000003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Нико Доага (190)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68</v>
      </c>
      <c r="AL3" s="376"/>
      <c r="AM3" s="10">
        <f>AH5</f>
        <v>17</v>
      </c>
      <c r="AN3" s="10">
        <f>AI4</f>
        <v>14</v>
      </c>
      <c r="AO3" s="10">
        <f>AJ6</f>
        <v>0</v>
      </c>
      <c r="AP3" s="9">
        <f>SUM(AM3:AO3)</f>
        <v>31</v>
      </c>
    </row>
    <row r="4" spans="2:47" ht="24" customHeight="1">
      <c r="B4" s="101">
        <v>2</v>
      </c>
      <c r="C4" s="377" t="str">
        <f>IF(GROUPS!F10="","",GROUPS!F10)</f>
        <v>Нико Доага (190)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80</v>
      </c>
      <c r="Q4" s="111">
        <f>IF(AND(T10="",U13="",U18=""),"",AP4)</f>
        <v>50</v>
      </c>
      <c r="R4" s="380">
        <f>IF(ISERROR(IF(AND(T10="",U13="",U18=""),"",SUM(AB4:AD4)+(N4-O4)/1000)+(AK4/10000)+(AG4/100000)),"",IF(AND(T10="",U13="",U18=""),"",SUM(AB4:AD4)+(N4-O4)/1000)+(AK4/10000)+(AG4/100000))</f>
        <v>5.0068000000000001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Боро Варошлија (85)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80</v>
      </c>
      <c r="AH4" s="10">
        <f>F10+H10+J10+L10+N10+P10+R10</f>
        <v>33</v>
      </c>
      <c r="AI4" s="10">
        <f>G13+I13+K13+M13+O13+Q13+S13</f>
        <v>14</v>
      </c>
      <c r="AJ4" s="10">
        <f>G18+I18+K18+M18+O18+Q18+S18</f>
        <v>33</v>
      </c>
      <c r="AK4" s="375">
        <f t="shared" ref="AK4:AK6" si="2">SUM(AH4:AJ4)-SUM(AM4:AO4)</f>
        <v>30</v>
      </c>
      <c r="AL4" s="376"/>
      <c r="AM4" s="10">
        <f>AH6</f>
        <v>0</v>
      </c>
      <c r="AN4" s="10">
        <f>AI3</f>
        <v>33</v>
      </c>
      <c r="AO4" s="10">
        <f>AJ5</f>
        <v>17</v>
      </c>
      <c r="AP4" s="9">
        <f t="shared" ref="AP4:AP6" si="3">SUM(AM4:AO4)</f>
        <v>50</v>
      </c>
    </row>
    <row r="5" spans="2:47" ht="24" customHeight="1">
      <c r="B5" s="101">
        <v>3</v>
      </c>
      <c r="C5" s="377" t="str">
        <f>IF(GROUPS!F11="","",GROUPS!F11)</f>
        <v>Боро Варошлија (85)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67</v>
      </c>
      <c r="Q5" s="111">
        <f>IF(AND(U9="",T14="",T18=""),"",AP5)</f>
        <v>66</v>
      </c>
      <c r="R5" s="380">
        <f>IF(ISERROR(IF(AND(U9="",T14="",T18=""),"",SUM(AB5:AD5)+(N5-O5)/1000)+(AK5/10000)+(AG5/100000)),"",IF(AND(U9="",T14="",T18=""),"",SUM(AB5:AD5)+(N5-O5)/1000)+(AK5/10000)+(AG5/100000))</f>
        <v>3.99777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Марин Глигоров (675)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67</v>
      </c>
      <c r="AH5" s="10">
        <f>G9+I9+K9+M9+O9+Q9+S9</f>
        <v>17</v>
      </c>
      <c r="AI5" s="10">
        <f>F14+H14+J14+L14+N14+P14+R14</f>
        <v>33</v>
      </c>
      <c r="AJ5" s="10">
        <f>F18+H18+J18+L18+N18+P18+R18</f>
        <v>17</v>
      </c>
      <c r="AK5" s="375">
        <f t="shared" si="2"/>
        <v>1</v>
      </c>
      <c r="AL5" s="37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1" t="str">
        <f>IF(GROUPS!F12="","",GROUPS!F12)</f>
        <v>Марин Глигоров (675)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0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2.9811000000000001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-99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246</v>
      </c>
      <c r="Q7" s="127">
        <f>SUM(Q3:Q6)</f>
        <v>246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Алeксандар Марковиќ (3)</v>
      </c>
      <c r="D9" s="130">
        <v>3</v>
      </c>
      <c r="E9" s="131" t="str">
        <f>IF(C5="","",VLOOKUP(D9,$B$3:$E$6,2,FALSE))</f>
        <v>Боро Варошлија (85)</v>
      </c>
      <c r="F9" s="132">
        <v>11</v>
      </c>
      <c r="G9" s="133">
        <v>6</v>
      </c>
      <c r="H9" s="134">
        <v>11</v>
      </c>
      <c r="I9" s="133">
        <v>5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Нико Доага (190)</v>
      </c>
      <c r="D10" s="140">
        <v>4</v>
      </c>
      <c r="E10" s="141" t="str">
        <f>IF(C6="","",VLOOKUP(D10,$B$3:$E$6,2,FALSE))</f>
        <v>Марин Глигоров (675)</v>
      </c>
      <c r="F10" s="142">
        <v>11</v>
      </c>
      <c r="G10" s="143">
        <v>0</v>
      </c>
      <c r="H10" s="144">
        <v>11</v>
      </c>
      <c r="I10" s="143">
        <v>0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Алeксандар Марковиќ (3)</v>
      </c>
      <c r="D13" s="130">
        <v>2</v>
      </c>
      <c r="E13" s="131" t="str">
        <f>IF(C4="","",VLOOKUP(D13,$B$3:$E$6,2,FALSE))</f>
        <v>Нико Доага (190)</v>
      </c>
      <c r="F13" s="132">
        <v>11</v>
      </c>
      <c r="G13" s="133">
        <v>5</v>
      </c>
      <c r="H13" s="134">
        <v>11</v>
      </c>
      <c r="I13" s="133">
        <v>4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Боро Варошлија (85)</v>
      </c>
      <c r="D14" s="140">
        <v>4</v>
      </c>
      <c r="E14" s="141" t="str">
        <f>IF(C6="","",VLOOKUP(D14,$B$3:$E$6,2,FALSE))</f>
        <v>Марин Глигоров (675)</v>
      </c>
      <c r="F14" s="142">
        <v>11</v>
      </c>
      <c r="G14" s="143">
        <v>0</v>
      </c>
      <c r="H14" s="144">
        <v>11</v>
      </c>
      <c r="I14" s="143">
        <v>0</v>
      </c>
      <c r="J14" s="142">
        <v>11</v>
      </c>
      <c r="K14" s="145">
        <v>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Алeксандар Марковиќ (3)</v>
      </c>
      <c r="D17" s="130">
        <v>4</v>
      </c>
      <c r="E17" s="131" t="str">
        <f>IF(C6="","",VLOOKUP(D17,$B$3:$E$6,2,FALSE))</f>
        <v>Марин Глигоров (675)</v>
      </c>
      <c r="F17" s="132">
        <v>11</v>
      </c>
      <c r="G17" s="133">
        <v>0</v>
      </c>
      <c r="H17" s="134">
        <v>11</v>
      </c>
      <c r="I17" s="133">
        <v>0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Боро Варошлија (85)</v>
      </c>
      <c r="D18" s="140">
        <v>2</v>
      </c>
      <c r="E18" s="141" t="str">
        <f>IF(C4="","",VLOOKUP(D18,$B$3:$E$6,2,FALSE))</f>
        <v>Нико Доага (190)</v>
      </c>
      <c r="F18" s="142">
        <v>3</v>
      </c>
      <c r="G18" s="143">
        <v>11</v>
      </c>
      <c r="H18" s="144">
        <v>9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Сашо Љамов (127)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>Андреј Стојановски (47)</v>
      </c>
      <c r="D3" s="378"/>
      <c r="E3" s="379"/>
      <c r="F3" s="102"/>
      <c r="G3" s="103"/>
      <c r="H3" s="104">
        <f>T13</f>
        <v>0</v>
      </c>
      <c r="I3" s="105">
        <f>U13</f>
        <v>3</v>
      </c>
      <c r="J3" s="104">
        <f>T9</f>
        <v>0</v>
      </c>
      <c r="K3" s="106">
        <f>U9</f>
        <v>3</v>
      </c>
      <c r="L3" s="104">
        <f>T17</f>
        <v>0</v>
      </c>
      <c r="M3" s="107">
        <f>U17</f>
        <v>3</v>
      </c>
      <c r="N3" s="108">
        <f>IF(AND(T9="",T13="",T17=""),"",SUM(H3,J3,L3))</f>
        <v>0</v>
      </c>
      <c r="O3" s="109">
        <f>IF(AND(T9="",T13="",T17=""),"",SUM(I3,K3,M3))</f>
        <v>9</v>
      </c>
      <c r="P3" s="110">
        <f>IF(AND(T9="",T13="",T17=""),"",AG3)</f>
        <v>0</v>
      </c>
      <c r="Q3" s="111">
        <f>IF(AND(T9="",T13="",T17=""),"",AP3)</f>
        <v>99</v>
      </c>
      <c r="R3" s="380">
        <f>IF(ISERROR(IF(AND(T9="",T13="",T17=""),"",SUM(AB3:AD3)+(N3-O3)/1000)+(AK3/10000)),"",IF(AND(T9="",T13="",T17=""),"",SUM(AB3:AD3)+(N3-O3)/1000)+(AK3/10000)+(AG3/100000))</f>
        <v>2.9811000000000001</v>
      </c>
      <c r="S3" s="380"/>
      <c r="T3" s="112">
        <f>IF(ISERROR(IF(C3="","",RANK(R3,$R$3:$S$6,0))),"",IF(C3="","",RANK(R3,$R$3:$S$6,0)))</f>
        <v>4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Јован Пармачки (472)</v>
      </c>
      <c r="Y3" s="385"/>
      <c r="Z3" s="386"/>
      <c r="AB3" s="10">
        <f>IF(H3="","",IF(H3&gt;I3,2,1))</f>
        <v>1</v>
      </c>
      <c r="AC3" s="10">
        <f>IF(J3="","",IF(J3&gt;K3,2,1))</f>
        <v>1</v>
      </c>
      <c r="AD3" s="10">
        <f>IF(L3="","",IF(L3&gt;M3,2,1))</f>
        <v>1</v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-99</v>
      </c>
      <c r="AL3" s="376"/>
      <c r="AM3" s="10">
        <f>AH5</f>
        <v>33</v>
      </c>
      <c r="AN3" s="10">
        <f>AI4</f>
        <v>33</v>
      </c>
      <c r="AO3" s="10">
        <f>AJ6</f>
        <v>33</v>
      </c>
      <c r="AP3" s="9">
        <f>SUM(AM3:AO3)</f>
        <v>99</v>
      </c>
    </row>
    <row r="4" spans="2:47" ht="24" customHeight="1">
      <c r="B4" s="101">
        <v>2</v>
      </c>
      <c r="C4" s="377" t="str">
        <f>IF(GROUPS!H10="","",GROUPS!H10)</f>
        <v>Сашо Љамов (127)</v>
      </c>
      <c r="D4" s="378"/>
      <c r="E4" s="379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99</v>
      </c>
      <c r="Q4" s="111">
        <f>IF(AND(T10="",U13="",U18=""),"",AP4)</f>
        <v>14</v>
      </c>
      <c r="R4" s="380">
        <f>IF(ISERROR(IF(AND(T10="",U13="",U18=""),"",SUM(AB4:AD4)+(N4-O4)/1000)+(AK4/10000)+(AG4/100000)),"",IF(AND(T10="",U13="",U18=""),"",SUM(AB4:AD4)+(N4-O4)/1000)+(AK4/10000)+(AG4/100000))</f>
        <v>6.0184899999999999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Петар Јуришиќ (361)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99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33</v>
      </c>
      <c r="AK4" s="375">
        <f t="shared" ref="AK4:AK6" si="2">SUM(AH4:AJ4)-SUM(AM4:AO4)</f>
        <v>85</v>
      </c>
      <c r="AL4" s="376"/>
      <c r="AM4" s="10">
        <f>AH6</f>
        <v>0</v>
      </c>
      <c r="AN4" s="10">
        <f>AI3</f>
        <v>0</v>
      </c>
      <c r="AO4" s="10">
        <f>AJ5</f>
        <v>14</v>
      </c>
      <c r="AP4" s="9">
        <f t="shared" ref="AP4:AP6" si="3">SUM(AM4:AO4)</f>
        <v>14</v>
      </c>
    </row>
    <row r="5" spans="2:47" ht="24" customHeight="1">
      <c r="B5" s="101">
        <v>3</v>
      </c>
      <c r="C5" s="377" t="str">
        <f>IF(GROUPS!H11="","",GROUPS!H11)</f>
        <v>Јован Пармачки (472)</v>
      </c>
      <c r="D5" s="378"/>
      <c r="E5" s="379"/>
      <c r="F5" s="113">
        <f>U9</f>
        <v>3</v>
      </c>
      <c r="G5" s="106">
        <f>T9</f>
        <v>0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80</v>
      </c>
      <c r="Q5" s="111">
        <f>IF(AND(U9="",T14="",T18=""),"",AP5)</f>
        <v>33</v>
      </c>
      <c r="R5" s="380">
        <f>IF(ISERROR(IF(AND(U9="",T14="",T18=""),"",SUM(AB5:AD5)+(N5-O5)/1000)+(AK5/10000)+(AG5/100000)),"",IF(AND(U9="",T14="",T18=""),"",SUM(AB5:AD5)+(N5-O5)/1000)+(AK5/10000)+(AG5/100000))</f>
        <v>5.0084999999999997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Андреј Стојановски (47)</v>
      </c>
      <c r="Y5" s="382"/>
      <c r="Z5" s="383"/>
      <c r="AB5" s="10">
        <f t="shared" ref="AB5:AB6" si="4">IF(F5="","",IF(F5&gt;G5,2,1))</f>
        <v>2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80</v>
      </c>
      <c r="AH5" s="10">
        <f>G9+I9+K9+M9+O9+Q9+S9</f>
        <v>33</v>
      </c>
      <c r="AI5" s="10">
        <f>F14+H14+J14+L14+N14+P14+R14</f>
        <v>33</v>
      </c>
      <c r="AJ5" s="10">
        <f>F18+H18+J18+L18+N18+P18+R18</f>
        <v>14</v>
      </c>
      <c r="AK5" s="375">
        <f t="shared" si="2"/>
        <v>47</v>
      </c>
      <c r="AL5" s="376"/>
      <c r="AM5" s="10">
        <f>AH3</f>
        <v>0</v>
      </c>
      <c r="AN5" s="10">
        <f>AI6</f>
        <v>0</v>
      </c>
      <c r="AO5" s="10">
        <f>AJ4</f>
        <v>33</v>
      </c>
      <c r="AP5" s="9">
        <f t="shared" si="3"/>
        <v>33</v>
      </c>
    </row>
    <row r="6" spans="2:47" ht="24" customHeight="1" thickBot="1">
      <c r="B6" s="116">
        <v>4</v>
      </c>
      <c r="C6" s="371" t="str">
        <f>IF(GROUPS!H12="","",GROUPS!H12)</f>
        <v>Петар Јуришиќ (361)</v>
      </c>
      <c r="D6" s="372"/>
      <c r="E6" s="373"/>
      <c r="F6" s="117">
        <f>U17</f>
        <v>3</v>
      </c>
      <c r="G6" s="118">
        <f>T17</f>
        <v>0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33</v>
      </c>
      <c r="Q6" s="125">
        <f>IF(AND(U10="",U14="",U17=""),"",AP6)</f>
        <v>66</v>
      </c>
      <c r="R6" s="374">
        <f>IF(ISERROR(IF(AND(U10="",U14="",U17=""),"",SUM(AB6:AD6)+(N6-O6)/1000)+(AK6/10000)+(AG6/100000)),"",IF(AND(U10="",U14="",U17=""),"",SUM(AB6:AD6)+(N6-O6)/1000)+(AK6/10000)+(AG6/100000))</f>
        <v>3.99403</v>
      </c>
      <c r="S6" s="374"/>
      <c r="T6" s="126">
        <f>IF(ISERROR(IF(C6="","",RANK(R6,$R$3:$S$6,0))),"",IF(C6="","",RANK(R6,$R$3:$S$6,0)))</f>
        <v>3</v>
      </c>
      <c r="AB6" s="10">
        <f t="shared" si="4"/>
        <v>2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33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33</v>
      </c>
      <c r="AK6" s="375">
        <f t="shared" si="2"/>
        <v>-33</v>
      </c>
      <c r="AL6" s="376"/>
      <c r="AM6" s="10">
        <f>AH4</f>
        <v>33</v>
      </c>
      <c r="AN6" s="10">
        <f>AI5</f>
        <v>33</v>
      </c>
      <c r="AO6" s="10">
        <f>AJ3</f>
        <v>0</v>
      </c>
      <c r="AP6" s="9">
        <f t="shared" si="3"/>
        <v>66</v>
      </c>
    </row>
    <row r="7" spans="2:47" ht="18.600000000000001" thickBot="1">
      <c r="P7" s="127">
        <f>SUM(P3:P6)</f>
        <v>212</v>
      </c>
      <c r="Q7" s="127">
        <f>SUM(Q3:Q6)</f>
        <v>212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Јован Пармачки (472)</v>
      </c>
      <c r="F9" s="132">
        <v>0</v>
      </c>
      <c r="G9" s="133">
        <v>11</v>
      </c>
      <c r="H9" s="134">
        <v>0</v>
      </c>
      <c r="I9" s="133">
        <v>11</v>
      </c>
      <c r="J9" s="132">
        <v>0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0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Сашо Љамов (127)</v>
      </c>
      <c r="D10" s="140">
        <v>4</v>
      </c>
      <c r="E10" s="141" t="str">
        <f>IF(C6="","",VLOOKUP(D10,$B$3:$E$6,2,FALSE))</f>
        <v>Петар Јуришиќ (361)</v>
      </c>
      <c r="F10" s="142">
        <v>11</v>
      </c>
      <c r="G10" s="143">
        <v>0</v>
      </c>
      <c r="H10" s="144">
        <v>11</v>
      </c>
      <c r="I10" s="143">
        <v>0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Сашо Љамов (127)</v>
      </c>
      <c r="F13" s="132">
        <v>0</v>
      </c>
      <c r="G13" s="133">
        <v>11</v>
      </c>
      <c r="H13" s="134">
        <v>0</v>
      </c>
      <c r="I13" s="133">
        <v>11</v>
      </c>
      <c r="J13" s="132">
        <v>0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 Пармачки (472)</v>
      </c>
      <c r="D14" s="140">
        <v>4</v>
      </c>
      <c r="E14" s="141" t="str">
        <f>IF(C6="","",VLOOKUP(D14,$B$3:$E$6,2,FALSE))</f>
        <v>Петар Јуришиќ (361)</v>
      </c>
      <c r="F14" s="142">
        <v>11</v>
      </c>
      <c r="G14" s="143">
        <v>0</v>
      </c>
      <c r="H14" s="144">
        <v>11</v>
      </c>
      <c r="I14" s="143">
        <v>0</v>
      </c>
      <c r="J14" s="142">
        <v>11</v>
      </c>
      <c r="K14" s="145">
        <v>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>Петар Јуришиќ (361)</v>
      </c>
      <c r="F17" s="132">
        <v>0</v>
      </c>
      <c r="G17" s="133">
        <v>11</v>
      </c>
      <c r="H17" s="134">
        <v>0</v>
      </c>
      <c r="I17" s="133">
        <v>11</v>
      </c>
      <c r="J17" s="132">
        <v>0</v>
      </c>
      <c r="K17" s="135">
        <v>11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0</v>
      </c>
      <c r="U17" s="137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0</v>
      </c>
      <c r="AG17" s="10">
        <f>IF(K17="","",IF(K17&gt;J17,1,0))</f>
        <v>1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 Пармачки (472)</v>
      </c>
      <c r="D18" s="140">
        <v>2</v>
      </c>
      <c r="E18" s="141" t="str">
        <f>IF(C4="","",VLOOKUP(D18,$B$3:$E$6,2,FALSE))</f>
        <v>Сашо Љамов (127)</v>
      </c>
      <c r="F18" s="142">
        <v>2</v>
      </c>
      <c r="G18" s="143">
        <v>11</v>
      </c>
      <c r="H18" s="144">
        <v>7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Даниел Главевски Зхоу  (108)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>Дамјан Стојчев (72)</v>
      </c>
      <c r="D3" s="409"/>
      <c r="E3" s="410"/>
      <c r="F3" s="197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7</v>
      </c>
      <c r="O3" s="109">
        <f>IF(AND(T9="",T13="",T17=""),"",SUM(I3,K3,M3))</f>
        <v>4</v>
      </c>
      <c r="P3" s="110">
        <f>IF(AND(T9="",T13="",T17=""),"",AG3)</f>
        <v>105</v>
      </c>
      <c r="Q3" s="111">
        <f>IF(AND(T9="",T13="",T17=""),"",AP3)</f>
        <v>74</v>
      </c>
      <c r="R3" s="380">
        <f>IF(ISERROR(IF(AND(T9="",T13="",T17=""),"",SUM(AB3:AD3)+(N3-O3)/1000)+(AK3/10000)),"",IF(AND(T9="",T13="",T17=""),"",SUM(AB3:AD3)+(N3-O3)/1000)+(AK3/10000)+(AG3/100000))</f>
        <v>5.0071500000000002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Дамјан Стојчев (72)</v>
      </c>
      <c r="Y3" s="385"/>
      <c r="Z3" s="38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105</v>
      </c>
      <c r="AH3" s="10">
        <f>F9+H9+J9+L9+N9+P9+R9</f>
        <v>40</v>
      </c>
      <c r="AI3" s="10">
        <f>F13+H13+J13+L13+N13+P13+R13</f>
        <v>32</v>
      </c>
      <c r="AJ3" s="10">
        <f>F17+H17+J17+L17+N17+P17+R17</f>
        <v>33</v>
      </c>
      <c r="AK3" s="375">
        <f>SUM(AH3:AJ3)-SUM(AM3:AO3)</f>
        <v>31</v>
      </c>
      <c r="AL3" s="376"/>
      <c r="AM3" s="10">
        <f>AH5</f>
        <v>24</v>
      </c>
      <c r="AN3" s="10">
        <f>AI4</f>
        <v>38</v>
      </c>
      <c r="AO3" s="10">
        <f>AJ6</f>
        <v>12</v>
      </c>
      <c r="AP3" s="9">
        <f>SUM(AM3:AO3)</f>
        <v>74</v>
      </c>
    </row>
    <row r="4" spans="2:47" ht="24" customHeight="1">
      <c r="B4" s="200">
        <v>2</v>
      </c>
      <c r="C4" s="409" t="str">
        <f>IF(GROUPS!J10="","",GROUPS!J10)</f>
        <v>Даниел Главевски Зхоу  (108)</v>
      </c>
      <c r="D4" s="409"/>
      <c r="E4" s="410"/>
      <c r="F4" s="198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104</v>
      </c>
      <c r="Q4" s="111">
        <f>IF(AND(T10="",U13="",U18=""),"",AP4)</f>
        <v>60</v>
      </c>
      <c r="R4" s="380">
        <f>IF(ISERROR(IF(AND(T10="",U13="",U18=""),"",SUM(AB4:AD4)+(N4-O4)/1000)+(AK4/10000)+(AG4/100000)),"",IF(AND(T10="",U13="",U18=""),"",SUM(AB4:AD4)+(N4-O4)/1000)+(AK4/10000)+(AG4/100000))</f>
        <v>6.0134400000000001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Јован Ковачовски (139)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104</v>
      </c>
      <c r="AH4" s="10">
        <f>F10+H10+J10+L10+N10+P10+R10</f>
        <v>33</v>
      </c>
      <c r="AI4" s="10">
        <f>G13+I13+K13+M13+O13+Q13+S13</f>
        <v>38</v>
      </c>
      <c r="AJ4" s="10">
        <f>G18+I18+K18+M18+O18+Q18+S18</f>
        <v>33</v>
      </c>
      <c r="AK4" s="375">
        <f t="shared" ref="AK4:AK6" si="2">SUM(AH4:AJ4)-SUM(AM4:AO4)</f>
        <v>44</v>
      </c>
      <c r="AL4" s="376"/>
      <c r="AM4" s="10">
        <f>AH6</f>
        <v>18</v>
      </c>
      <c r="AN4" s="10">
        <f>AI3</f>
        <v>32</v>
      </c>
      <c r="AO4" s="10">
        <f>AJ5</f>
        <v>10</v>
      </c>
      <c r="AP4" s="9">
        <f t="shared" ref="AP4:AP6" si="3">SUM(AM4:AO4)</f>
        <v>60</v>
      </c>
    </row>
    <row r="5" spans="2:47" ht="24" customHeight="1">
      <c r="B5" s="200">
        <v>3</v>
      </c>
      <c r="C5" s="409" t="str">
        <f>IF(GROUPS!J11="","",GROUPS!J11)</f>
        <v>Јован Ковачовски (139)</v>
      </c>
      <c r="D5" s="409"/>
      <c r="E5" s="410"/>
      <c r="F5" s="198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4</v>
      </c>
      <c r="O5" s="109">
        <f>IF(AND(U9="",T14="",T18=""),"",SUM(G5,I5,M5))</f>
        <v>7</v>
      </c>
      <c r="P5" s="110">
        <f>IF(AND(U9="",T14="",T18=""),"",AG5)</f>
        <v>77</v>
      </c>
      <c r="Q5" s="111">
        <f>IF(AND(U9="",T14="",T18=""),"",AP5)</f>
        <v>108</v>
      </c>
      <c r="R5" s="380">
        <f>IF(ISERROR(IF(AND(U9="",T14="",T18=""),"",SUM(AB5:AD5)+(N5-O5)/1000)+(AK5/10000)+(AG5/100000)),"",IF(AND(U9="",T14="",T18=""),"",SUM(AB5:AD5)+(N5-O5)/1000)+(AK5/10000)+(AG5/100000))</f>
        <v>3.9946700000000002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Дамјан Петровиќ (536)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77</v>
      </c>
      <c r="AH5" s="10">
        <f>G9+I9+K9+M9+O9+Q9+S9</f>
        <v>24</v>
      </c>
      <c r="AI5" s="10">
        <f>F14+H14+J14+L14+N14+P14+R14</f>
        <v>43</v>
      </c>
      <c r="AJ5" s="10">
        <f>F18+H18+J18+L18+N18+P18+R18</f>
        <v>10</v>
      </c>
      <c r="AK5" s="375">
        <f t="shared" si="2"/>
        <v>-31</v>
      </c>
      <c r="AL5" s="376"/>
      <c r="AM5" s="10">
        <f>AH3</f>
        <v>40</v>
      </c>
      <c r="AN5" s="10">
        <f>AI6</f>
        <v>35</v>
      </c>
      <c r="AO5" s="10">
        <f>AJ4</f>
        <v>33</v>
      </c>
      <c r="AP5" s="9">
        <f t="shared" si="3"/>
        <v>108</v>
      </c>
    </row>
    <row r="6" spans="2:47" ht="24" customHeight="1" thickBot="1">
      <c r="B6" s="201">
        <v>4</v>
      </c>
      <c r="C6" s="414" t="str">
        <f>IF(GROUPS!J12="","",GROUPS!J12)</f>
        <v>Дамјан Петровиќ (536)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1</v>
      </c>
      <c r="O6" s="123">
        <f>IF(AND(U10="",U14="",U17=""),"",SUM(G6,I6,K6))</f>
        <v>9</v>
      </c>
      <c r="P6" s="124">
        <f>IF(AND(U10="",U14="",U17=""),"",AG6)</f>
        <v>65</v>
      </c>
      <c r="Q6" s="125">
        <f>IF(AND(U10="",U14="",U17=""),"",AP6)</f>
        <v>109</v>
      </c>
      <c r="R6" s="374">
        <f>IF(ISERROR(IF(AND(U10="",U14="",U17=""),"",SUM(AB6:AD6)+(N6-O6)/1000)+(AK6/10000)+(AG6/100000)),"",IF(AND(U10="",U14="",U17=""),"",SUM(AB6:AD6)+(N6-O6)/1000)+(AK6/10000)+(AG6/100000))</f>
        <v>2.9882499999999999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65</v>
      </c>
      <c r="AH6" s="10">
        <f>G10+I10+K10+M10+O10+Q10+S10</f>
        <v>18</v>
      </c>
      <c r="AI6" s="10">
        <f>G14+I14+K14+M14+O14+Q14+S14</f>
        <v>35</v>
      </c>
      <c r="AJ6" s="10">
        <f>G17+I17+K17+M17+O17+Q17+S17</f>
        <v>12</v>
      </c>
      <c r="AK6" s="375">
        <f t="shared" si="2"/>
        <v>-44</v>
      </c>
      <c r="AL6" s="376"/>
      <c r="AM6" s="10">
        <f>AH4</f>
        <v>33</v>
      </c>
      <c r="AN6" s="10">
        <f>AI5</f>
        <v>43</v>
      </c>
      <c r="AO6" s="10">
        <f>AJ3</f>
        <v>33</v>
      </c>
      <c r="AP6" s="9">
        <f t="shared" si="3"/>
        <v>109</v>
      </c>
    </row>
    <row r="7" spans="2:47" ht="18.600000000000001" thickBot="1">
      <c r="P7" s="127">
        <f>SUM(P3:P6)</f>
        <v>351</v>
      </c>
      <c r="Q7" s="127">
        <f>SUM(Q3:Q6)</f>
        <v>351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Дамјан Стојчев (72)</v>
      </c>
      <c r="D9" s="130">
        <v>3</v>
      </c>
      <c r="E9" s="131" t="str">
        <f>IF(C5="","",VLOOKUP(D9,$B$3:$E$6,2,FALSE))</f>
        <v>Јован Ковачовски (139)</v>
      </c>
      <c r="F9" s="132">
        <v>11</v>
      </c>
      <c r="G9" s="133">
        <v>6</v>
      </c>
      <c r="H9" s="134">
        <v>7</v>
      </c>
      <c r="I9" s="133">
        <v>11</v>
      </c>
      <c r="J9" s="132">
        <v>11</v>
      </c>
      <c r="K9" s="135">
        <v>1</v>
      </c>
      <c r="L9" s="134">
        <v>11</v>
      </c>
      <c r="M9" s="133">
        <v>6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Даниел Главевски Зхоу  (108)</v>
      </c>
      <c r="D10" s="140">
        <v>4</v>
      </c>
      <c r="E10" s="141" t="str">
        <f>IF(C6="","",VLOOKUP(D10,$B$3:$E$6,2,FALSE))</f>
        <v>Дамјан Петровиќ (536)</v>
      </c>
      <c r="F10" s="142">
        <v>11</v>
      </c>
      <c r="G10" s="143">
        <v>7</v>
      </c>
      <c r="H10" s="144">
        <v>11</v>
      </c>
      <c r="I10" s="143">
        <v>5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Дамјан Стојчев (72)</v>
      </c>
      <c r="D13" s="130">
        <v>2</v>
      </c>
      <c r="E13" s="131" t="str">
        <f>IF(C4="","",VLOOKUP(D13,$B$3:$E$6,2,FALSE))</f>
        <v>Даниел Главевски Зхоу  (108)</v>
      </c>
      <c r="F13" s="132">
        <v>11</v>
      </c>
      <c r="G13" s="133">
        <v>5</v>
      </c>
      <c r="H13" s="134">
        <v>3</v>
      </c>
      <c r="I13" s="133">
        <v>11</v>
      </c>
      <c r="J13" s="132">
        <v>9</v>
      </c>
      <c r="K13" s="135">
        <v>11</v>
      </c>
      <c r="L13" s="134">
        <v>9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 Ковачовски (139)</v>
      </c>
      <c r="D14" s="140">
        <v>4</v>
      </c>
      <c r="E14" s="141" t="str">
        <f>IF(C6="","",VLOOKUP(D14,$B$3:$E$6,2,FALSE))</f>
        <v>Дамјан Петровиќ (536)</v>
      </c>
      <c r="F14" s="142">
        <v>11</v>
      </c>
      <c r="G14" s="143">
        <v>5</v>
      </c>
      <c r="H14" s="144">
        <v>12</v>
      </c>
      <c r="I14" s="143">
        <v>10</v>
      </c>
      <c r="J14" s="142">
        <v>9</v>
      </c>
      <c r="K14" s="145">
        <v>11</v>
      </c>
      <c r="L14" s="144">
        <v>11</v>
      </c>
      <c r="M14" s="143">
        <v>9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Дамјан Стојчев (72)</v>
      </c>
      <c r="D17" s="130">
        <v>4</v>
      </c>
      <c r="E17" s="131" t="str">
        <f>IF(C6="","",VLOOKUP(D17,$B$3:$E$6,2,FALSE))</f>
        <v>Дамјан Петровиќ (536)</v>
      </c>
      <c r="F17" s="132">
        <v>11</v>
      </c>
      <c r="G17" s="133">
        <v>3</v>
      </c>
      <c r="H17" s="134">
        <v>11</v>
      </c>
      <c r="I17" s="133">
        <v>5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 Ковачовски (139)</v>
      </c>
      <c r="D18" s="140">
        <v>2</v>
      </c>
      <c r="E18" s="141" t="str">
        <f>IF(C4="","",VLOOKUP(D18,$B$3:$E$6,2,FALSE))</f>
        <v>Даниел Главевски Зхоу  (108)</v>
      </c>
      <c r="F18" s="142">
        <v>2</v>
      </c>
      <c r="G18" s="143">
        <v>11</v>
      </c>
      <c r="H18" s="144">
        <v>3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Лука Стојчев (73)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Ѓорѓе Бораниев (365)</v>
      </c>
    </row>
    <row r="5" spans="2:42" ht="15.6">
      <c r="B5" s="218" t="s">
        <v>27</v>
      </c>
      <c r="C5" s="210">
        <v>3</v>
      </c>
      <c r="D5" s="211" t="str">
        <f>IF(' II'!$X$2="","",' II'!$X$2)</f>
        <v>Филип Младеновски (70)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Борис Секулов (130)</v>
      </c>
    </row>
    <row r="7" spans="2:42" ht="15.6">
      <c r="B7" s="212" t="s">
        <v>29</v>
      </c>
      <c r="C7" s="213">
        <v>5</v>
      </c>
      <c r="D7" s="207" t="str">
        <f>IF(' III'!$X$2="","",' III'!$X$2)</f>
        <v>Лука Огненоски (15)</v>
      </c>
      <c r="F7" s="254">
        <v>1</v>
      </c>
      <c r="G7" s="96" t="str">
        <f>IF(F7="","",VLOOKUP(F7,$C$3:$D$8,2,FALSE))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Венко Стојанов (49)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Лука Стојчев (73)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/>
      </c>
    </row>
    <row r="16" spans="2:42" ht="15.6">
      <c r="C16" s="35"/>
      <c r="D16" s="2"/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Борис Секулов (130)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Венко Стојанов (49)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3:42" ht="15.6">
      <c r="C31" s="35"/>
      <c r="D31" s="2"/>
      <c r="F31" s="254">
        <v>5</v>
      </c>
      <c r="G31" s="96" t="str">
        <f>IF(F31="","",VLOOKUP(F31,$C$3:$D$8,2,FALSE))</f>
        <v>Лука Огненоски (15)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Ѓорѓе Бораниев (365)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Филип Младеновски (70)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Филип Младеновски (70)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Лука Стојчев (73)</v>
      </c>
    </row>
    <row r="4" spans="2:47" ht="16.2" thickBot="1">
      <c r="B4" s="48" t="s">
        <v>55</v>
      </c>
      <c r="C4" s="48">
        <v>2</v>
      </c>
      <c r="D4" s="24" t="str">
        <f>IF(' I'!$X$3="","",' I'!$X$3)</f>
        <v>Ѓорѓе Бораниев (365)</v>
      </c>
    </row>
    <row r="5" spans="2:47" ht="15.6">
      <c r="B5" s="48" t="s">
        <v>27</v>
      </c>
      <c r="C5" s="48">
        <v>3</v>
      </c>
      <c r="D5" s="27" t="str">
        <f>IF(' II'!$X$2="","",' II'!$X$2)</f>
        <v>Филип Младеновски (70)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Борис Секулов (130)</v>
      </c>
    </row>
    <row r="7" spans="2:47" ht="15.6">
      <c r="B7" s="48" t="s">
        <v>29</v>
      </c>
      <c r="C7" s="48">
        <v>5</v>
      </c>
      <c r="D7" s="23" t="str">
        <f>IF(' III'!$X$2="","",' III'!$X$2)</f>
        <v>Лука Огненоски (15)</v>
      </c>
      <c r="F7" s="312">
        <v>1</v>
      </c>
      <c r="G7" s="151" t="str">
        <f>IF(F7="","",VLOOKUP(F7,$C$3:$D$10,2,FALSE))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Венко Стојанов (49)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Кристијан Станојковски (10)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Милчо Чачаров (50)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6"/>
      <c r="AN17" s="436"/>
      <c r="AO17" s="437"/>
    </row>
    <row r="18" spans="2:42" ht="15.6">
      <c r="B18" s="35"/>
      <c r="C18" s="35"/>
      <c r="D18" s="2"/>
      <c r="P18" s="76"/>
      <c r="Y18" s="80"/>
      <c r="AJ18" s="8"/>
      <c r="AM18" s="436"/>
      <c r="AO18" s="43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2" customHeight="1" thickBot="1">
      <c r="C21" s="448" t="s">
        <v>594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2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2">
        <v>3</v>
      </c>
      <c r="G44" s="151" t="str">
        <f>IF(F44="","",VLOOKUP(F44,$C$3:$D$10,2,FALSE))</f>
        <v>Филип Младеновски (70)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8"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4" t="s">
        <v>61</v>
      </c>
      <c r="D1" s="435"/>
      <c r="E1" s="347" t="s">
        <v>917</v>
      </c>
      <c r="F1" s="347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Лука Стојчев (73)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Ѓорѓе Бораниев (365)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Филип Младеновски (70)</v>
      </c>
      <c r="F5" s="2">
        <v>1</v>
      </c>
      <c r="G5" s="155">
        <v>1</v>
      </c>
      <c r="H5" s="156" t="str">
        <f>IF(G5="","",VLOOKUP(G5,$C$3:$D$18,2,FALSE))</f>
        <v>Лука Стојчев (73)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Борис Секулов (130)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Лука Огненоски (15)</v>
      </c>
      <c r="F7" s="2"/>
      <c r="G7" s="153"/>
      <c r="Q7" s="76"/>
      <c r="R7" s="96" t="str">
        <f>H5</f>
        <v>Лука Стојчев (73)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Венко Стојанов (49)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>Кристијан Станојковски (10)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Милчо Чачаров (50)</v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Христијан Јовановски  (2)</v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Александар Јакимовски (178)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>Алeксандар Марковиќ (3)</v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>Нико Доага (190)</v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3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6" t="str">
        <f>IF(AU25="","",IF(AU25&lt;AU26,AM25,AM26))</f>
        <v/>
      </c>
      <c r="AY16" s="436"/>
      <c r="AZ16" s="43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36"/>
      <c r="AY17" s="436"/>
      <c r="AZ17" s="43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36"/>
      <c r="AZ18" s="43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0" t="s">
        <v>58</v>
      </c>
      <c r="AZ20" s="438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38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9" t="str">
        <f>IF(AU25="","",IF(AU25&gt;AU26,AM25,AM26))</f>
        <v/>
      </c>
      <c r="AZ28" s="449"/>
      <c r="BA28" s="449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/>
      </c>
      <c r="AZ29" s="429"/>
      <c r="BA29" s="429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/>
      </c>
      <c r="AZ30" s="430"/>
      <c r="BA30" s="430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/>
      </c>
      <c r="AZ31" s="430"/>
      <c r="BA31" s="430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1" t="str">
        <f>IF(Z7="","",IF(Z7&lt;Z8,R7,R8))</f>
        <v/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/>
      </c>
      <c r="AZ33" s="431"/>
      <c r="BA33" s="431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/>
      </c>
      <c r="AZ34" s="431"/>
      <c r="BA34" s="431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2" t="str">
        <f>IF(Z43="","",IF(Z43&lt;Z44,R43,R44))</f>
        <v/>
      </c>
      <c r="AZ35" s="432"/>
      <c r="BA35" s="432"/>
    </row>
    <row r="36" spans="3:53">
      <c r="F36" s="2"/>
      <c r="G36" s="153"/>
      <c r="AA36" s="76"/>
      <c r="AJ36" s="81"/>
      <c r="AW36" s="164"/>
      <c r="AX36" s="165"/>
      <c r="AY36" s="433"/>
      <c r="AZ36" s="433"/>
      <c r="BA36" s="433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4"/>
      <c r="AZ37" s="424"/>
      <c r="BA37" s="424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4"/>
      <c r="AZ38" s="424"/>
      <c r="BA38" s="424"/>
    </row>
    <row r="39" spans="3:53">
      <c r="F39" s="2"/>
      <c r="G39" s="153"/>
      <c r="AA39" s="76"/>
      <c r="AW39" s="163"/>
      <c r="AX39" s="4"/>
      <c r="AY39" s="424"/>
      <c r="AZ39" s="424"/>
      <c r="BA39" s="424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4"/>
      <c r="AZ40" s="424"/>
      <c r="BA40" s="424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4"/>
      <c r="AZ41" s="424"/>
      <c r="BA41" s="424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4"/>
      <c r="AZ42" s="424"/>
      <c r="BA42" s="424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4"/>
      <c r="AZ43" s="424"/>
      <c r="BA43" s="424"/>
    </row>
    <row r="44" spans="3:53">
      <c r="F44" s="2"/>
      <c r="G44" s="153"/>
      <c r="Q44" s="82"/>
      <c r="R44" s="96" t="str">
        <f>H47</f>
        <v>Филип Младеновски (70)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Филип Младеновски (70)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F52"/>
  <sheetViews>
    <sheetView tabSelected="1" topLeftCell="AE13" workbookViewId="0">
      <selection activeCell="AQ27" sqref="AQ27"/>
    </sheetView>
  </sheetViews>
  <sheetFormatPr defaultRowHeight="14.4"/>
  <cols>
    <col min="2" max="2" width="13" customWidth="1"/>
    <col min="4" max="4" width="31.44140625" customWidth="1"/>
    <col min="5" max="6" width="13.88671875" customWidth="1"/>
    <col min="7" max="7" width="9.109375" style="58"/>
    <col min="8" max="8" width="31.44140625" style="2" customWidth="1"/>
    <col min="9" max="16" width="3" style="2" customWidth="1"/>
    <col min="17" max="17" width="9.109375" style="2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7" width="3" style="2" customWidth="1"/>
    <col min="50" max="52" width="31.44140625" customWidth="1"/>
  </cols>
  <sheetData>
    <row r="1" spans="2:58" ht="28.8">
      <c r="C1" s="447" t="s">
        <v>61</v>
      </c>
      <c r="D1" s="435"/>
      <c r="E1" t="s">
        <v>917</v>
      </c>
      <c r="F1" s="347" t="s">
        <v>919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5" thickBot="1">
      <c r="B2" s="238" t="s">
        <v>125</v>
      </c>
      <c r="C2" s="238" t="s">
        <v>78</v>
      </c>
    </row>
    <row r="3" spans="2:58" ht="15.6">
      <c r="B3" s="47" t="s">
        <v>25</v>
      </c>
      <c r="C3" s="47">
        <v>1</v>
      </c>
      <c r="D3" s="23" t="str">
        <f>IF(' I'!$X$2="","",' I'!$X$2)</f>
        <v>Лука Стојчев (73)</v>
      </c>
      <c r="G3" s="35"/>
    </row>
    <row r="4" spans="2:58" ht="16.2" thickBot="1">
      <c r="B4" s="48" t="s">
        <v>55</v>
      </c>
      <c r="C4" s="48">
        <v>2</v>
      </c>
      <c r="D4" s="24" t="str">
        <f>IF(' I'!$X$3="","",' I'!$X$3)</f>
        <v>Ѓорѓе Бораниев (365)</v>
      </c>
      <c r="E4">
        <v>1</v>
      </c>
      <c r="F4">
        <v>1</v>
      </c>
      <c r="G4" s="152">
        <v>1</v>
      </c>
      <c r="H4" s="151" t="str">
        <f>IF(G4="","",VLOOKUP(G4,$C$3:$D$18,2,FALSE))</f>
        <v>Лука Стојчев (73)</v>
      </c>
      <c r="I4" s="75">
        <v>11</v>
      </c>
      <c r="J4" s="75">
        <v>3</v>
      </c>
      <c r="K4" s="75">
        <v>8</v>
      </c>
      <c r="L4" s="75">
        <v>11</v>
      </c>
      <c r="M4" s="75">
        <v>7</v>
      </c>
      <c r="N4" s="75"/>
      <c r="O4" s="75"/>
      <c r="P4" s="17">
        <f>IF(I4="","",SUMPRODUCT(--(I4:O4&gt;I5:O5)))</f>
        <v>2</v>
      </c>
    </row>
    <row r="5" spans="2:58" ht="15.6">
      <c r="B5" s="48" t="s">
        <v>27</v>
      </c>
      <c r="C5" s="48">
        <v>3</v>
      </c>
      <c r="D5" s="27" t="str">
        <f>IF(' II'!$X$2="","",' II'!$X$2)</f>
        <v>Филип Младеновски (70)</v>
      </c>
      <c r="F5">
        <v>2</v>
      </c>
      <c r="G5" s="154">
        <v>10</v>
      </c>
      <c r="H5" s="151" t="str">
        <f>IF(G5="","",VLOOKUP(G5,$C$3:$D$18,2,FALSE))</f>
        <v>Александар Јакимовски (178)</v>
      </c>
      <c r="I5" s="75">
        <v>9</v>
      </c>
      <c r="J5" s="75">
        <v>11</v>
      </c>
      <c r="K5" s="75">
        <v>11</v>
      </c>
      <c r="L5" s="75">
        <v>9</v>
      </c>
      <c r="M5" s="75">
        <v>11</v>
      </c>
      <c r="N5" s="75"/>
      <c r="O5" s="75"/>
      <c r="P5" s="17">
        <f>IF(I4="","",SUMPRODUCT(--(I4:O4&lt;I5:O5)))</f>
        <v>3</v>
      </c>
    </row>
    <row r="6" spans="2:58" ht="16.2" thickBot="1">
      <c r="B6" s="48" t="s">
        <v>54</v>
      </c>
      <c r="C6" s="48">
        <v>4</v>
      </c>
      <c r="D6" s="28" t="str">
        <f>IF(' II'!$X$3="","",' II'!$X$3)</f>
        <v>Борис Секулов (130)</v>
      </c>
      <c r="G6" s="153"/>
      <c r="P6" s="8"/>
      <c r="Q6" s="76"/>
    </row>
    <row r="7" spans="2:58" ht="15.6">
      <c r="B7" s="48" t="s">
        <v>29</v>
      </c>
      <c r="C7" s="48">
        <v>5</v>
      </c>
      <c r="D7" s="23" t="str">
        <f>IF(' III'!$X$2="","",' III'!$X$2)</f>
        <v>Лука Огненоски (15)</v>
      </c>
      <c r="G7" s="153"/>
      <c r="Q7" s="76"/>
      <c r="R7" s="96" t="str">
        <f>IF(P4="","",IF(P4&gt;P5,H4,H5))</f>
        <v>Александар Јакимовски (178)</v>
      </c>
      <c r="S7" s="75">
        <v>5</v>
      </c>
      <c r="T7" s="75">
        <v>11</v>
      </c>
      <c r="U7" s="75">
        <v>11</v>
      </c>
      <c r="V7" s="75">
        <v>5</v>
      </c>
      <c r="W7" s="75">
        <v>9</v>
      </c>
      <c r="X7" s="75"/>
      <c r="Y7" s="75"/>
      <c r="Z7" s="17">
        <f>IF(S7="","",SUMPRODUCT(--(S7:Y7&gt;S8:Y8)))</f>
        <v>2</v>
      </c>
    </row>
    <row r="8" spans="2:58" ht="16.2" thickBot="1">
      <c r="B8" s="48" t="s">
        <v>53</v>
      </c>
      <c r="C8" s="48">
        <v>6</v>
      </c>
      <c r="D8" s="24" t="str">
        <f>IF(' III'!$X$3="","",' III'!$X$3)</f>
        <v>Венко Стојанов (49)</v>
      </c>
      <c r="G8" s="153"/>
      <c r="Q8" s="82"/>
      <c r="R8" s="96" t="str">
        <f>IF(P10="","",IF(P10&gt;P11,H10,H11))</f>
        <v>Борис Секулов (130)</v>
      </c>
      <c r="S8" s="75">
        <v>11</v>
      </c>
      <c r="T8" s="75">
        <v>6</v>
      </c>
      <c r="U8" s="75">
        <v>3</v>
      </c>
      <c r="V8" s="75">
        <v>11</v>
      </c>
      <c r="W8" s="75">
        <v>11</v>
      </c>
      <c r="X8" s="75"/>
      <c r="Y8" s="75"/>
      <c r="Z8" s="17">
        <f>IF(S7="","",SUMPRODUCT(--(S7:Y7&lt;S8:Y8)))</f>
        <v>3</v>
      </c>
    </row>
    <row r="9" spans="2:58" ht="15.6">
      <c r="B9" s="48" t="s">
        <v>30</v>
      </c>
      <c r="C9" s="48">
        <v>7</v>
      </c>
      <c r="D9" s="27" t="str">
        <f>IF(IV!$X$2="","",IV!$X$2)</f>
        <v>Кристијан Станојковски (10)</v>
      </c>
      <c r="G9" s="153"/>
      <c r="Q9" s="76"/>
      <c r="Z9" s="8"/>
      <c r="AA9" s="76"/>
    </row>
    <row r="10" spans="2:58" ht="16.2" thickBot="1">
      <c r="B10" s="48" t="s">
        <v>52</v>
      </c>
      <c r="C10" s="48">
        <v>8</v>
      </c>
      <c r="D10" s="28" t="str">
        <f>IF(IV!$X$3="","",IV!$X$3)</f>
        <v>Милчо Чачаров (50)</v>
      </c>
      <c r="F10">
        <v>3</v>
      </c>
      <c r="G10" s="152">
        <v>4</v>
      </c>
      <c r="H10" s="151" t="str">
        <f>IF(G10="","",VLOOKUP(G10,$C$3:$D$18,2,FALSE))</f>
        <v>Борис Секулов (130)</v>
      </c>
      <c r="I10" s="75">
        <v>8</v>
      </c>
      <c r="J10" s="75">
        <v>11</v>
      </c>
      <c r="K10" s="75">
        <v>9</v>
      </c>
      <c r="L10" s="75">
        <v>11</v>
      </c>
      <c r="M10" s="75">
        <v>11</v>
      </c>
      <c r="N10" s="75"/>
      <c r="O10" s="75"/>
      <c r="P10" s="17">
        <f>IF(I10="","",SUMPRODUCT(--(I10:O10&gt;I11:O11)))</f>
        <v>3</v>
      </c>
      <c r="Z10" s="8"/>
      <c r="AA10" s="76"/>
    </row>
    <row r="11" spans="2:58" ht="15.6">
      <c r="B11" s="48" t="s">
        <v>31</v>
      </c>
      <c r="C11" s="48">
        <v>9</v>
      </c>
      <c r="D11" s="23" t="str">
        <f>IF(V!$X$2="","",V!$X$2)</f>
        <v>Христијан Јовановски  (2)</v>
      </c>
      <c r="E11" s="314" t="s">
        <v>601</v>
      </c>
      <c r="F11" s="314">
        <v>4</v>
      </c>
      <c r="G11" s="154">
        <v>11</v>
      </c>
      <c r="H11" s="151" t="str">
        <f>IF(G11="","",VLOOKUP(G11,$C$3:$D$18,2,FALSE))</f>
        <v>Алeксандар Марковиќ (3)</v>
      </c>
      <c r="I11" s="75">
        <v>11</v>
      </c>
      <c r="J11" s="75">
        <v>9</v>
      </c>
      <c r="K11" s="75">
        <v>11</v>
      </c>
      <c r="L11" s="75">
        <v>8</v>
      </c>
      <c r="M11" s="75">
        <v>5</v>
      </c>
      <c r="N11" s="75"/>
      <c r="O11" s="75"/>
      <c r="P11" s="17">
        <f>IF(I10="","",SUMPRODUCT(--(I10:O10&lt;I11:O11)))</f>
        <v>2</v>
      </c>
      <c r="AA11" s="76"/>
    </row>
    <row r="12" spans="2:58" ht="16.2" thickBot="1">
      <c r="B12" s="48" t="s">
        <v>51</v>
      </c>
      <c r="C12" s="48">
        <v>10</v>
      </c>
      <c r="D12" s="24" t="str">
        <f>IF(V!$X$3="","",V!$X$3)</f>
        <v>Александар Јакимовски (178)</v>
      </c>
      <c r="G12" s="153"/>
      <c r="AA12" s="76"/>
      <c r="AY12" s="45"/>
    </row>
    <row r="13" spans="2:58" ht="15.6">
      <c r="B13" s="48" t="s">
        <v>32</v>
      </c>
      <c r="C13" s="48">
        <v>11</v>
      </c>
      <c r="D13" s="27" t="str">
        <f>IF(VI!$X$2="","",VI!$X$2)</f>
        <v>Алeксандар Марковиќ (3)</v>
      </c>
      <c r="G13" s="153"/>
      <c r="P13" s="8"/>
      <c r="AA13" s="76"/>
      <c r="AB13" s="95" t="str">
        <f>IF(Z7="","",IF(Z7&gt;Z8,R7,R8))</f>
        <v>Борис Секулов (130)</v>
      </c>
      <c r="AC13" s="75">
        <v>11</v>
      </c>
      <c r="AD13" s="75">
        <v>11</v>
      </c>
      <c r="AE13" s="75">
        <v>6</v>
      </c>
      <c r="AF13" s="75">
        <v>3</v>
      </c>
      <c r="AG13" s="75">
        <v>10</v>
      </c>
      <c r="AH13" s="75"/>
      <c r="AI13" s="75"/>
      <c r="AJ13" s="17">
        <f>IF(AC13="","",SUMPRODUCT(--(AC13:AI13&gt;AC14:AI14)))</f>
        <v>2</v>
      </c>
      <c r="AK13" s="11"/>
    </row>
    <row r="14" spans="2:58" ht="16.2" thickBot="1">
      <c r="B14" s="48" t="s">
        <v>50</v>
      </c>
      <c r="C14" s="48">
        <v>12</v>
      </c>
      <c r="D14" s="28" t="str">
        <f>IF(VI!$X$3="","",VI!$X$3)</f>
        <v>Нико Доага (190)</v>
      </c>
      <c r="G14" s="153"/>
      <c r="P14" s="8"/>
      <c r="AA14" s="82"/>
      <c r="AB14" s="95" t="str">
        <f>IF(Z19="","",IF(Z19&gt;Z20,R19,R20))</f>
        <v>Даниел Главевски Зхоу  (108)</v>
      </c>
      <c r="AC14" s="75">
        <v>2</v>
      </c>
      <c r="AD14" s="75">
        <v>1</v>
      </c>
      <c r="AE14" s="75">
        <v>11</v>
      </c>
      <c r="AF14" s="75">
        <v>11</v>
      </c>
      <c r="AG14" s="75">
        <v>12</v>
      </c>
      <c r="AH14" s="75"/>
      <c r="AI14" s="75"/>
      <c r="AJ14" s="17">
        <f>IF(AC13="","",SUMPRODUCT(--(AC13:AI13&lt;AC14:AI14)))</f>
        <v>3</v>
      </c>
      <c r="AK14" s="11"/>
    </row>
    <row r="15" spans="2:58" ht="15.6">
      <c r="B15" s="48" t="s">
        <v>33</v>
      </c>
      <c r="C15" s="48">
        <v>13</v>
      </c>
      <c r="D15" s="23" t="str">
        <f>IF(VII!$X$2="","",VII!$X$2)</f>
        <v>Сашо Љамов (127)</v>
      </c>
      <c r="G15" s="153"/>
      <c r="AA15" s="76"/>
      <c r="AJ15" s="79"/>
      <c r="AY15" s="436" t="str">
        <f>IF(AU25="","",IF(AU25&gt;AU26,AM25,AM26))</f>
        <v>Кристијан Станојковски (10)</v>
      </c>
    </row>
    <row r="16" spans="2:58" ht="16.2" thickBot="1">
      <c r="B16" s="48" t="s">
        <v>49</v>
      </c>
      <c r="C16" s="48">
        <v>14</v>
      </c>
      <c r="D16" s="24" t="str">
        <f>IF(VII!$X$3="","",VII!$X$3)</f>
        <v>Јован Пармачки (472)</v>
      </c>
      <c r="E16" s="314" t="s">
        <v>601</v>
      </c>
      <c r="F16" s="314">
        <v>5</v>
      </c>
      <c r="G16" s="152">
        <v>15</v>
      </c>
      <c r="H16" s="151" t="str">
        <f>IF(G16="","",VLOOKUP(G16,$C$3:$D$18,2,FALSE))</f>
        <v>Даниел Главевски Зхоу  (108)</v>
      </c>
      <c r="I16" s="75">
        <v>11</v>
      </c>
      <c r="J16" s="75">
        <v>11</v>
      </c>
      <c r="K16" s="75">
        <v>4</v>
      </c>
      <c r="L16" s="75">
        <v>11</v>
      </c>
      <c r="M16" s="75"/>
      <c r="N16" s="75"/>
      <c r="O16" s="75"/>
      <c r="P16" s="17">
        <f>IF(I16="","",SUMPRODUCT(--(I16:O16&gt;I17:O17)))</f>
        <v>3</v>
      </c>
      <c r="AA16" s="76"/>
      <c r="AJ16" s="80"/>
      <c r="AX16" s="436" t="str">
        <f>IF(AU25="","",IF(AU25&lt;AU26,AM25,AM26))</f>
        <v>Даниел Главевски Зхоу  (108)</v>
      </c>
      <c r="AY16" s="436"/>
      <c r="AZ16" s="437" t="str">
        <f>IF(AU25=AU26,"",IF(AU34=AU35,AM34,IF(AU34&gt;AU35,AM34,AM35)))</f>
        <v>Борис Секулов (130)</v>
      </c>
    </row>
    <row r="17" spans="2:53" ht="15.6">
      <c r="B17" s="48" t="s">
        <v>34</v>
      </c>
      <c r="C17" s="48">
        <v>15</v>
      </c>
      <c r="D17" s="27" t="str">
        <f>IF(VIII!$X$2="","",VIII!$X$2)</f>
        <v>Даниел Главевски Зхоу  (108)</v>
      </c>
      <c r="F17">
        <v>6</v>
      </c>
      <c r="G17" s="154">
        <v>8</v>
      </c>
      <c r="H17" s="151" t="str">
        <f>IF(G17="","",VLOOKUP(G17,$C$3:$D$18,2,FALSE))</f>
        <v>Милчо Чачаров (50)</v>
      </c>
      <c r="I17" s="75">
        <v>3</v>
      </c>
      <c r="J17" s="75">
        <v>8</v>
      </c>
      <c r="K17" s="75">
        <v>11</v>
      </c>
      <c r="L17" s="75">
        <v>9</v>
      </c>
      <c r="M17" s="75"/>
      <c r="N17" s="75"/>
      <c r="O17" s="75"/>
      <c r="P17" s="17">
        <f>IF(I16="","",SUMPRODUCT(--(I16:O16&lt;I17:O17)))</f>
        <v>1</v>
      </c>
      <c r="AA17" s="76"/>
      <c r="AJ17" s="80"/>
      <c r="AU17" s="8"/>
      <c r="AX17" s="436"/>
      <c r="AY17" s="436"/>
      <c r="AZ17" s="437"/>
    </row>
    <row r="18" spans="2:53" ht="16.2" thickBot="1">
      <c r="B18" s="49" t="s">
        <v>57</v>
      </c>
      <c r="C18" s="49">
        <v>16</v>
      </c>
      <c r="D18" s="28" t="str">
        <f>IF(VIII!$X$3="","",VIII!$X$3)</f>
        <v>Дамјан Стојчев (72)</v>
      </c>
      <c r="G18" s="153"/>
      <c r="Q18" s="76"/>
      <c r="AA18" s="76"/>
      <c r="AJ18" s="80"/>
      <c r="AU18" s="8"/>
      <c r="AX18" s="436"/>
      <c r="AZ18" s="437"/>
    </row>
    <row r="19" spans="2:53" ht="16.2" thickBot="1">
      <c r="C19" s="35"/>
      <c r="D19" s="2"/>
      <c r="G19" s="153"/>
      <c r="Q19" s="76"/>
      <c r="R19" s="96" t="str">
        <f>IF(P16="","",IF(P16&gt;P17,H16,H17))</f>
        <v>Даниел Главевски Зхоу  (108)</v>
      </c>
      <c r="S19" s="75">
        <v>11</v>
      </c>
      <c r="T19" s="75">
        <v>11</v>
      </c>
      <c r="U19" s="75">
        <v>12</v>
      </c>
      <c r="V19" s="75"/>
      <c r="W19" s="75"/>
      <c r="X19" s="75"/>
      <c r="Y19" s="75"/>
      <c r="Z19" s="17">
        <f>IF(S19="","",SUMPRODUCT(--(S19:Y19&gt;S20:Y20)))</f>
        <v>3</v>
      </c>
      <c r="AJ19" s="80"/>
      <c r="AZ19" s="438" t="str">
        <f>IF(AU25=AU26,"",IF(OR(AU34&gt;AU35,AU34&lt;AU35),"",AM35))</f>
        <v>Филип Младеновски (70)</v>
      </c>
    </row>
    <row r="20" spans="2:53" ht="16.2" thickBot="1">
      <c r="C20" s="35"/>
      <c r="D20" s="2"/>
      <c r="G20" s="153"/>
      <c r="Q20" s="82"/>
      <c r="R20" s="96" t="str">
        <f>IF(P22="","",IF(P22&gt;P23,H22,H23))</f>
        <v>Лука Огненоски (15)</v>
      </c>
      <c r="S20" s="75">
        <v>8</v>
      </c>
      <c r="T20" s="75">
        <v>8</v>
      </c>
      <c r="U20" s="75">
        <v>10</v>
      </c>
      <c r="V20" s="75"/>
      <c r="W20" s="75"/>
      <c r="X20" s="75"/>
      <c r="Y20" s="75"/>
      <c r="Z20" s="17">
        <f>IF(S19="","",SUMPRODUCT(--(S19:Y19&lt;S20:Y20)))</f>
        <v>0</v>
      </c>
      <c r="AJ20" s="80"/>
      <c r="AY20" s="450" t="s">
        <v>58</v>
      </c>
      <c r="AZ20" s="438"/>
    </row>
    <row r="21" spans="2:53" ht="16.2" thickBot="1">
      <c r="C21" s="35"/>
      <c r="D21" s="2"/>
      <c r="G21" s="153"/>
      <c r="P21" s="8"/>
      <c r="Q21" s="76"/>
      <c r="AJ21" s="80"/>
      <c r="AX21" s="459" t="s">
        <v>59</v>
      </c>
      <c r="AY21" s="451"/>
      <c r="AZ21" s="438"/>
    </row>
    <row r="22" spans="2:53" ht="15.6">
      <c r="C22" s="35"/>
      <c r="D22" s="2"/>
      <c r="F22">
        <v>7</v>
      </c>
      <c r="G22" s="152">
        <v>14</v>
      </c>
      <c r="H22" s="151" t="str">
        <f>IF(G22="","",VLOOKUP(G22,$C$3:$D$18,2,FALSE))</f>
        <v>Јован Пармачки (472)</v>
      </c>
      <c r="I22" s="75">
        <v>11</v>
      </c>
      <c r="J22" s="75">
        <v>12</v>
      </c>
      <c r="K22" s="75">
        <v>6</v>
      </c>
      <c r="L22" s="75">
        <v>5</v>
      </c>
      <c r="M22" s="75"/>
      <c r="N22" s="75"/>
      <c r="O22" s="75"/>
      <c r="P22" s="17">
        <f>IF(I22="","",SUMPRODUCT(--(I22:O22&gt;I23:O23)))</f>
        <v>1</v>
      </c>
      <c r="AJ22" s="80"/>
      <c r="AX22" s="460"/>
      <c r="AY22" s="451"/>
      <c r="AZ22" s="456" t="s">
        <v>60</v>
      </c>
    </row>
    <row r="23" spans="2:53" ht="16.2" thickBot="1">
      <c r="C23" s="35"/>
      <c r="D23" s="2"/>
      <c r="E23">
        <v>5.7</v>
      </c>
      <c r="F23">
        <v>8</v>
      </c>
      <c r="G23" s="154">
        <v>5</v>
      </c>
      <c r="H23" s="151" t="str">
        <f>IF(G23="","",VLOOKUP(G23,$C$3:$D$18,2,FALSE))</f>
        <v>Лука Огненоски (15)</v>
      </c>
      <c r="I23" s="75">
        <v>5</v>
      </c>
      <c r="J23" s="75">
        <v>14</v>
      </c>
      <c r="K23" s="75">
        <v>11</v>
      </c>
      <c r="L23" s="75">
        <v>11</v>
      </c>
      <c r="M23" s="75"/>
      <c r="N23" s="75"/>
      <c r="O23" s="75"/>
      <c r="P23" s="17">
        <f>IF(I22="","",SUMPRODUCT(--(I22:O22&lt;I23:O23)))</f>
        <v>3</v>
      </c>
      <c r="AJ23" s="80"/>
      <c r="AX23" s="461"/>
      <c r="AY23" s="452"/>
      <c r="AZ23" s="457"/>
    </row>
    <row r="24" spans="2:53" ht="15.6">
      <c r="C24" s="35"/>
      <c r="D24" s="2"/>
      <c r="G24" s="153"/>
      <c r="AJ24" s="80"/>
    </row>
    <row r="25" spans="2:53" ht="15.6">
      <c r="C25" s="35"/>
      <c r="D25" s="2"/>
      <c r="G25" s="153"/>
      <c r="Z25" s="8"/>
      <c r="AJ25" s="80"/>
      <c r="AM25" s="97" t="str">
        <f>IF(AJ13="","",IF(AJ13&gt;AJ14,AB13,AB14))</f>
        <v>Даниел Главевски Зхоу  (108)</v>
      </c>
      <c r="AN25" s="75">
        <v>4</v>
      </c>
      <c r="AO25" s="75">
        <v>11</v>
      </c>
      <c r="AP25" s="75">
        <v>7</v>
      </c>
      <c r="AQ25" s="75">
        <v>2</v>
      </c>
      <c r="AR25" s="75"/>
      <c r="AS25" s="75"/>
      <c r="AT25" s="75"/>
      <c r="AU25" s="17">
        <f>IF(AN25="","",SUMPRODUCT(--(AN25:AT25&gt;AN26:AT26)))</f>
        <v>1</v>
      </c>
    </row>
    <row r="26" spans="2:53" ht="15.6">
      <c r="C26" s="35"/>
      <c r="D26" s="2"/>
      <c r="E26" s="256"/>
      <c r="G26" s="153"/>
      <c r="Z26" s="8"/>
      <c r="AJ26" s="80"/>
      <c r="AK26" s="78"/>
      <c r="AL26" s="31"/>
      <c r="AM26" s="97" t="str">
        <f>IF(AJ37="","",IF(AJ37&gt;AJ38,AB37,AB38))</f>
        <v>Кристијан Станојковски (10)</v>
      </c>
      <c r="AN26" s="75">
        <v>11</v>
      </c>
      <c r="AO26" s="75">
        <v>9</v>
      </c>
      <c r="AP26" s="75">
        <v>11</v>
      </c>
      <c r="AQ26" s="75">
        <v>11</v>
      </c>
      <c r="AR26" s="75"/>
      <c r="AS26" s="75"/>
      <c r="AT26" s="75"/>
      <c r="AU26" s="17">
        <f>IF(AN25="","",SUMPRODUCT(--(AN25:AT25&lt;AN26:AT26)))</f>
        <v>3</v>
      </c>
    </row>
    <row r="27" spans="2:53" ht="15.6">
      <c r="C27" s="35"/>
      <c r="D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2:53" ht="15.6">
      <c r="C28" s="35"/>
      <c r="D28" s="2"/>
      <c r="E28">
        <v>5.7</v>
      </c>
      <c r="F28">
        <v>9</v>
      </c>
      <c r="G28" s="152">
        <v>7</v>
      </c>
      <c r="H28" s="151" t="str">
        <f>IF(G28="","",VLOOKUP(G28,$C$3:$D$18,2,FALSE))</f>
        <v>Кристијан Станојковски (10)</v>
      </c>
      <c r="I28" s="75">
        <v>4</v>
      </c>
      <c r="J28" s="75">
        <v>11</v>
      </c>
      <c r="K28" s="75">
        <v>11</v>
      </c>
      <c r="L28" s="75">
        <v>9</v>
      </c>
      <c r="M28" s="75">
        <v>11</v>
      </c>
      <c r="N28" s="75"/>
      <c r="O28" s="75"/>
      <c r="P28" s="17">
        <f>IF(I28="","",SUMPRODUCT(--(I28:O28&gt;I29:O29)))</f>
        <v>3</v>
      </c>
      <c r="AJ28" s="80"/>
      <c r="AL28" s="38"/>
      <c r="AW28" s="306">
        <v>1</v>
      </c>
      <c r="AX28" s="307" t="s">
        <v>82</v>
      </c>
      <c r="AY28" s="428" t="str">
        <f>IF(AU25="","",IF(AU25&gt;AU26,AM25,AM26))</f>
        <v>Кристијан Станојковски (10)</v>
      </c>
      <c r="AZ28" s="428"/>
      <c r="BA28" s="428"/>
    </row>
    <row r="29" spans="2:53" ht="15.6">
      <c r="C29" s="35"/>
      <c r="D29" s="2"/>
      <c r="F29">
        <v>10</v>
      </c>
      <c r="G29" s="154">
        <v>16</v>
      </c>
      <c r="H29" s="151" t="str">
        <f>IF(G29="","",VLOOKUP(G29,$C$3:$D$18,2,FALSE))</f>
        <v>Дамјан Стојчев (72)</v>
      </c>
      <c r="I29" s="75">
        <v>11</v>
      </c>
      <c r="J29" s="75">
        <v>3</v>
      </c>
      <c r="K29" s="75">
        <v>5</v>
      </c>
      <c r="L29" s="75">
        <v>11</v>
      </c>
      <c r="M29" s="75">
        <v>6</v>
      </c>
      <c r="N29" s="75"/>
      <c r="O29" s="75"/>
      <c r="P29" s="17">
        <f>IF(I28="","",SUMPRODUCT(--(I28:O28&lt;I29:O29)))</f>
        <v>2</v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>Даниел Главевски Зхоу  (108)</v>
      </c>
      <c r="AZ29" s="429"/>
      <c r="BA29" s="429"/>
    </row>
    <row r="30" spans="2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>Борис Секулов (130)</v>
      </c>
      <c r="AZ30" s="430"/>
      <c r="BA30" s="430"/>
    </row>
    <row r="31" spans="2:53" ht="15.6">
      <c r="C31" s="35"/>
      <c r="D31" s="2"/>
      <c r="G31" s="153"/>
      <c r="Q31" s="76"/>
      <c r="R31" s="96" t="str">
        <f>IF(P28="","",IF(P28&gt;P29,H28,H29))</f>
        <v>Кристијан Станојковски (10)</v>
      </c>
      <c r="S31" s="75">
        <v>11</v>
      </c>
      <c r="T31" s="75">
        <v>11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>Филип Младеновски (70)</v>
      </c>
      <c r="AZ31" s="430"/>
      <c r="BA31" s="430"/>
    </row>
    <row r="32" spans="2:53" ht="15.6">
      <c r="C32" s="35"/>
      <c r="D32" s="2"/>
      <c r="G32" s="153"/>
      <c r="Q32" s="82"/>
      <c r="R32" s="96" t="str">
        <f>IF(P34="","",IF(P34&gt;P35,H34,H35))</f>
        <v>Христијан Јовановски  (2)</v>
      </c>
      <c r="S32" s="75">
        <v>8</v>
      </c>
      <c r="T32" s="75">
        <v>5</v>
      </c>
      <c r="U32" s="75">
        <v>5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31" t="str">
        <f>IF(Z7="","",IF(Z7&lt;Z8,R7,R8))</f>
        <v>Александар Јакимовски (178)</v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>Лука Огненоски (15)</v>
      </c>
      <c r="AZ33" s="431"/>
      <c r="BA33" s="431"/>
    </row>
    <row r="34" spans="3:53" ht="15.6">
      <c r="C34" s="35"/>
      <c r="D34" s="2"/>
      <c r="F34">
        <v>11</v>
      </c>
      <c r="G34" s="152">
        <v>6</v>
      </c>
      <c r="H34" s="151" t="str">
        <f>IF(G34="","",VLOOKUP(G34,$C$3:$D$18,2,FALSE))</f>
        <v>Венко Стојанов (49)</v>
      </c>
      <c r="I34" s="75">
        <v>8</v>
      </c>
      <c r="J34" s="75">
        <v>11</v>
      </c>
      <c r="K34" s="75">
        <v>11</v>
      </c>
      <c r="L34" s="75">
        <v>4</v>
      </c>
      <c r="M34" s="75">
        <v>8</v>
      </c>
      <c r="N34" s="75"/>
      <c r="O34" s="75"/>
      <c r="P34" s="17">
        <f>IF(I34="","",SUMPRODUCT(--(I34:O34&gt;I35:O35)))</f>
        <v>2</v>
      </c>
      <c r="AA34" s="76"/>
      <c r="AJ34" s="80"/>
      <c r="AL34" s="62"/>
      <c r="AM34" s="98" t="str">
        <f>IF(AJ13="","",IF(AJ13&lt;AJ14,AB13,AB14))</f>
        <v>Борис Секулов (130)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>Христијан Јовановски  (2)</v>
      </c>
      <c r="AZ34" s="431"/>
      <c r="BA34" s="431"/>
    </row>
    <row r="35" spans="3:53">
      <c r="E35" s="314" t="s">
        <v>601</v>
      </c>
      <c r="F35" s="314">
        <v>12</v>
      </c>
      <c r="G35" s="154">
        <v>9</v>
      </c>
      <c r="H35" s="151" t="str">
        <f>IF(G35="","",VLOOKUP(G35,$C$3:$D$18,2,FALSE))</f>
        <v>Христијан Јовановски  (2)</v>
      </c>
      <c r="I35" s="75">
        <v>11</v>
      </c>
      <c r="J35" s="75">
        <v>7</v>
      </c>
      <c r="K35" s="75">
        <v>9</v>
      </c>
      <c r="L35" s="75">
        <v>11</v>
      </c>
      <c r="M35" s="75">
        <v>11</v>
      </c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Филип Младеновски (70)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31" t="str">
        <f>IF(Z43="","",IF(Z43&lt;Z44,R43,R44))</f>
        <v>Сашо Љамов (127)</v>
      </c>
      <c r="AZ35" s="431"/>
      <c r="BA35" s="431"/>
    </row>
    <row r="36" spans="3:53">
      <c r="G36" s="153"/>
      <c r="AA36" s="76"/>
      <c r="AJ36" s="81"/>
      <c r="AW36" s="92">
        <v>9</v>
      </c>
      <c r="AX36" s="22" t="s">
        <v>20</v>
      </c>
      <c r="AY36" s="458" t="str">
        <f>IF(P4="","",IF(P4&lt;P5,H4,H5))</f>
        <v>Лука Стојчев (73)</v>
      </c>
      <c r="AZ36" s="458"/>
      <c r="BA36" s="458"/>
    </row>
    <row r="37" spans="3:53">
      <c r="G37" s="153"/>
      <c r="P37" s="8"/>
      <c r="AA37" s="76"/>
      <c r="AB37" s="95" t="str">
        <f>IF(Z31="","",IF(Z31&gt;Z32,R31,R32))</f>
        <v>Кристијан Станојковски (10)</v>
      </c>
      <c r="AC37" s="75">
        <v>11</v>
      </c>
      <c r="AD37" s="75">
        <v>11</v>
      </c>
      <c r="AE37" s="75">
        <v>13</v>
      </c>
      <c r="AF37" s="75"/>
      <c r="AG37" s="75"/>
      <c r="AH37" s="75"/>
      <c r="AI37" s="75"/>
      <c r="AJ37" s="17">
        <f>IF(AC37="","",SUMPRODUCT(--(AC37:AI37&gt;AC38:AI38)))</f>
        <v>3</v>
      </c>
      <c r="AK37" s="11"/>
      <c r="AW37" s="92">
        <v>9</v>
      </c>
      <c r="AX37" s="22" t="s">
        <v>20</v>
      </c>
      <c r="AY37" s="458" t="str">
        <f>IF(P10="","",IF(P10&lt;P11,H10,H11))</f>
        <v>Алeксандар Марковиќ (3)</v>
      </c>
      <c r="AZ37" s="458"/>
      <c r="BA37" s="458"/>
    </row>
    <row r="38" spans="3:53">
      <c r="G38" s="153"/>
      <c r="P38" s="8"/>
      <c r="AA38" s="82"/>
      <c r="AB38" s="95" t="str">
        <f>IF(Z43="","",IF(Z43&gt;Z44,R43,R44))</f>
        <v>Филип Младеновски (70)</v>
      </c>
      <c r="AC38" s="75">
        <v>8</v>
      </c>
      <c r="AD38" s="75">
        <v>4</v>
      </c>
      <c r="AE38" s="75">
        <v>11</v>
      </c>
      <c r="AF38" s="75"/>
      <c r="AG38" s="75"/>
      <c r="AH38" s="75"/>
      <c r="AI38" s="75"/>
      <c r="AJ38" s="17">
        <f>IF(AC37="","",SUMPRODUCT(--(AC37:AI37&lt;AC38:AI38)))</f>
        <v>0</v>
      </c>
      <c r="AK38" s="11"/>
      <c r="AW38" s="92">
        <v>9</v>
      </c>
      <c r="AX38" s="22" t="s">
        <v>20</v>
      </c>
      <c r="AY38" s="458" t="str">
        <f>IF(P16="","",IF(P16&lt;P17,H16,H17))</f>
        <v>Милчо Чачаров (50)</v>
      </c>
      <c r="AZ38" s="458"/>
      <c r="BA38" s="458"/>
    </row>
    <row r="39" spans="3:53">
      <c r="G39" s="153"/>
      <c r="AA39" s="76"/>
      <c r="AW39" s="92">
        <v>9</v>
      </c>
      <c r="AX39" s="22" t="s">
        <v>20</v>
      </c>
      <c r="AY39" s="458" t="str">
        <f>IF(P22="","",IF(P22&lt;P23,H22,H23))</f>
        <v>Јован Пармачки (472)</v>
      </c>
      <c r="AZ39" s="458"/>
      <c r="BA39" s="458"/>
    </row>
    <row r="40" spans="3:53" ht="15.6">
      <c r="E40" s="314" t="s">
        <v>601</v>
      </c>
      <c r="F40" s="314">
        <v>13</v>
      </c>
      <c r="G40" s="152">
        <v>13</v>
      </c>
      <c r="H40" s="151" t="str">
        <f>IF(G40="","",VLOOKUP(G40,$C$3:$D$18,2,FALSE))</f>
        <v>Сашо Љамов (127)</v>
      </c>
      <c r="I40" s="75">
        <v>9</v>
      </c>
      <c r="J40" s="75">
        <v>11</v>
      </c>
      <c r="K40" s="75">
        <v>8</v>
      </c>
      <c r="L40" s="75">
        <v>11</v>
      </c>
      <c r="M40" s="75">
        <v>11</v>
      </c>
      <c r="N40" s="75"/>
      <c r="O40" s="75"/>
      <c r="P40" s="17">
        <f>IF(I40="","",SUMPRODUCT(--(I40:O40&gt;I41:O41)))</f>
        <v>3</v>
      </c>
      <c r="AA40" s="76"/>
      <c r="AW40" s="92">
        <v>9</v>
      </c>
      <c r="AX40" s="22" t="s">
        <v>20</v>
      </c>
      <c r="AY40" s="458" t="str">
        <f>IF(P28="","",IF(P28&lt;P29,H28,H29))</f>
        <v>Дамјан Стојчев (72)</v>
      </c>
      <c r="AZ40" s="458"/>
      <c r="BA40" s="458"/>
    </row>
    <row r="41" spans="3:53">
      <c r="F41">
        <v>14</v>
      </c>
      <c r="G41" s="154">
        <v>2</v>
      </c>
      <c r="H41" s="151" t="str">
        <f>IF(G41="","",VLOOKUP(G41,$C$3:$D$18,2,FALSE))</f>
        <v>Ѓорѓе Бораниев (365)</v>
      </c>
      <c r="I41" s="75">
        <v>11</v>
      </c>
      <c r="J41" s="75">
        <v>4</v>
      </c>
      <c r="K41" s="75">
        <v>11</v>
      </c>
      <c r="L41" s="75">
        <v>8</v>
      </c>
      <c r="M41" s="75">
        <v>8</v>
      </c>
      <c r="N41" s="75"/>
      <c r="O41" s="75"/>
      <c r="P41" s="17">
        <f>IF(I40="","",SUMPRODUCT(--(I40:O40&lt;I41:O41)))</f>
        <v>2</v>
      </c>
      <c r="Z41" s="8"/>
      <c r="AA41" s="76"/>
      <c r="AW41" s="92">
        <v>9</v>
      </c>
      <c r="AX41" s="22" t="s">
        <v>20</v>
      </c>
      <c r="AY41" s="458" t="str">
        <f>IF(P34="","",IF(P34&lt;P35,H34,H35))</f>
        <v>Венко Стојанов (49)</v>
      </c>
      <c r="AZ41" s="458"/>
      <c r="BA41" s="458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58" t="str">
        <f>IF(P40="","",IF(P40&lt;P41,H40,H41))</f>
        <v>Ѓорѓе Бораниев (365)</v>
      </c>
      <c r="AZ42" s="458"/>
      <c r="BA42" s="458"/>
    </row>
    <row r="43" spans="3:53">
      <c r="G43" s="153"/>
      <c r="Q43" s="76"/>
      <c r="R43" s="96" t="str">
        <f>IF(P40="","",IF(P40&gt;P41,H40,H41))</f>
        <v>Сашо Љамов (127)</v>
      </c>
      <c r="S43" s="75">
        <v>5</v>
      </c>
      <c r="T43" s="75">
        <v>3</v>
      </c>
      <c r="U43" s="75">
        <v>6</v>
      </c>
      <c r="V43" s="75"/>
      <c r="W43" s="75"/>
      <c r="X43" s="75"/>
      <c r="Y43" s="75"/>
      <c r="Z43" s="17">
        <f>IF(S43="","",SUMPRODUCT(--(S43:Y43&gt;S44:Y44)))</f>
        <v>0</v>
      </c>
      <c r="AW43" s="92">
        <v>9</v>
      </c>
      <c r="AX43" s="22" t="s">
        <v>20</v>
      </c>
      <c r="AY43" s="458" t="str">
        <f>IF(P46="","",IF(P46&lt;P47,H46,H47))</f>
        <v>Нико Доага (190)</v>
      </c>
      <c r="AZ43" s="458"/>
      <c r="BA43" s="458"/>
    </row>
    <row r="44" spans="3:53">
      <c r="G44" s="153"/>
      <c r="Q44" s="82"/>
      <c r="R44" s="96" t="str">
        <f>IF(P46="","",IF(P46&gt;P47,H46,H47))</f>
        <v>Филип Младеновски (70)</v>
      </c>
      <c r="S44" s="75">
        <v>11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G45" s="153"/>
      <c r="P45" s="8"/>
      <c r="Q45" s="76"/>
    </row>
    <row r="46" spans="3:53" ht="15.6">
      <c r="F46">
        <v>15</v>
      </c>
      <c r="G46" s="152">
        <v>12</v>
      </c>
      <c r="H46" s="151" t="str">
        <f>IF(G46="","",VLOOKUP(G46,$C$3:$D$18,2,FALSE))</f>
        <v>Нико Доага (190)</v>
      </c>
      <c r="I46" s="75">
        <v>11</v>
      </c>
      <c r="J46" s="75">
        <v>6</v>
      </c>
      <c r="K46" s="75">
        <v>11</v>
      </c>
      <c r="L46" s="75">
        <v>3</v>
      </c>
      <c r="M46" s="75"/>
      <c r="N46" s="75"/>
      <c r="O46" s="75"/>
      <c r="P46" s="17">
        <f>IF(I46="","",SUMPRODUCT(--(I46:O46&gt;I47:O47)))</f>
        <v>1</v>
      </c>
    </row>
    <row r="47" spans="3:53">
      <c r="E47">
        <v>3</v>
      </c>
      <c r="F47">
        <v>16</v>
      </c>
      <c r="G47" s="154">
        <v>3</v>
      </c>
      <c r="H47" s="151" t="str">
        <f>IF(G47="","",VLOOKUP(G47,$C$3:$D$18,2,FALSE))</f>
        <v>Филип Младеновски (70)</v>
      </c>
      <c r="I47" s="75">
        <v>13</v>
      </c>
      <c r="J47" s="75">
        <v>11</v>
      </c>
      <c r="K47" s="75">
        <v>9</v>
      </c>
      <c r="L47" s="75">
        <v>11</v>
      </c>
      <c r="M47" s="75"/>
      <c r="N47" s="75"/>
      <c r="O47" s="75"/>
      <c r="P47" s="17">
        <f>IF(I46="","",SUMPRODUCT(--(I46:O46&lt;I47:O47)))</f>
        <v>3</v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58" t="s">
        <v>524</v>
      </c>
      <c r="F3">
        <v>1</v>
      </c>
      <c r="G3" s="47">
        <v>1</v>
      </c>
      <c r="H3" s="70" t="str">
        <f>IF(G3="","",VLOOKUP(G3,$C$3:$F$26,2,FALSE))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Ѓорѓе Бораниев (365)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Филип Младеновски (70)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Борис Секулов (130)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Лука Огненоски (15)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Венко Стојанов (49)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Кристијан Станојковски (10)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Милчо Чачаров (50)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Христијан Јовановски  (2)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Александар Јакимовски (178)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Алeксандар Марковиќ (3)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Нико Доага (190)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Сашо Љамов (127)</v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Јован Пармачки (472)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>Дамјан Стојчев (72)</v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Филип Младеновски (70)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Филип Младеновски (70)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518</v>
      </c>
      <c r="F3">
        <v>1</v>
      </c>
      <c r="G3" s="47">
        <v>1</v>
      </c>
      <c r="H3" s="70" t="str">
        <f>IF(G3="","",VLOOKUP(G3,$C$3:$E$26,2,FALSE))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Ѓорѓе Бораниев (365)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Филип Младеновски (70)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Борис Секулов (130)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Лука Огненоски (15)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Венко Стојанов (49)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Кристијан Станојковски (10)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Милчо Чачаров (50)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Христијан Јовановски  (2)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Александар Јакимовски (178)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Алeксандар Марковиќ (3)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Нико Доага (190)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Сашо Љамов (127)</v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Јован Пармачки (472)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>Дамјан Стојчев (72)</v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Филип Младеновски (70)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Филип Младеновски (70)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Ѓорѓе Бораниев (365)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Филип Младеновски (70)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Борис Секулов (130)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Лука Огненоски (15)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Венко Стојанов (49)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Кристијан Станојковски (10)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Милчо Чачаров (50)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Христијан Јовановски  (2)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Александар Јакимовски (178)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Алeксандар Марковиќ (3)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>Нико Доага (190)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>Сашо Љамов (127)</v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>Јован Пармачки (472)</v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>Дамјан Стојчев (72)</v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Лука Стојчев (73)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Ѓорѓе Бораниев (365)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Филип Младеновски (70)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Борис Секулов (130)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Лука Огненоски (15)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Венко Стојанов (49)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Кристијан Станојковски (10)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Милчо Чачаров (50)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Христијан Јовановски  (2)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Александар Јакимовски (178)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Алeксандар Марковиќ (3)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Нико Доага (190)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>Сашо Љамов (127)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>Јован Пармачки (472)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>Даниел Главевски Зхоу  (108)</v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>Дамјан Стојчев (72)</v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2025-04-06T14:38:18Z</dcterms:modified>
</cp:coreProperties>
</file>