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I" sheetId="9" state="hidden" r:id="rId10"/>
    <sheet name="VIII" sheetId="10" state="hidden" r:id="rId11"/>
    <sheet name="IX" sheetId="38" state="hidden" r:id="rId12"/>
    <sheet name="X" sheetId="39" state="hidden" r:id="rId13"/>
    <sheet name="XI" sheetId="40" state="hidden" r:id="rId14"/>
    <sheet name="XII" sheetId="41" state="hidden" r:id="rId15"/>
    <sheet name="XIII" sheetId="42" state="hidden" r:id="rId16"/>
    <sheet name="XIV" sheetId="43" state="hidden" r:id="rId17"/>
    <sheet name="XV" sheetId="44" state="hidden" r:id="rId18"/>
    <sheet name="XVI" sheetId="45" state="hidden" r:id="rId19"/>
    <sheet name="KO6(3 G)" sheetId="47" state="hidden" r:id="rId20"/>
    <sheet name="KO8(4 G)" sheetId="49" state="hidden" r:id="rId21"/>
    <sheet name="VI" sheetId="8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G42" i="26" l="1"/>
  <c r="O18" i="26"/>
  <c r="G18" i="26"/>
  <c r="I13" i="19" l="1"/>
  <c r="K10" i="19" l="1"/>
  <c r="K11" i="19"/>
  <c r="K19" i="19"/>
  <c r="K18" i="19"/>
  <c r="K28" i="19"/>
  <c r="K25" i="19"/>
  <c r="K26" i="19"/>
  <c r="K27" i="19"/>
  <c r="K17" i="19"/>
  <c r="K15" i="19"/>
  <c r="K5" i="19"/>
  <c r="K4" i="19"/>
  <c r="K14" i="19"/>
  <c r="K3" i="19"/>
  <c r="K13" i="19"/>
  <c r="K16" i="19"/>
  <c r="K29" i="19"/>
  <c r="K20" i="19"/>
  <c r="K12" i="19"/>
  <c r="K30" i="19"/>
  <c r="K31" i="19"/>
  <c r="K21" i="19"/>
  <c r="K6" i="19"/>
  <c r="K7" i="19"/>
  <c r="K23" i="19"/>
  <c r="K9" i="19"/>
  <c r="K22" i="19"/>
  <c r="K32" i="19"/>
  <c r="K33" i="19"/>
  <c r="K24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31" i="49"/>
  <c r="AN15" i="49"/>
  <c r="AN28" i="49"/>
  <c r="Q37" i="49"/>
  <c r="AB25" i="49"/>
  <c r="AB34" i="49"/>
  <c r="AM16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J16" i="48" l="1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1" i="19"/>
  <c r="J19" i="19"/>
  <c r="J18" i="19"/>
  <c r="J28" i="19"/>
  <c r="J25" i="19"/>
  <c r="J26" i="19"/>
  <c r="J27" i="19"/>
  <c r="J17" i="19"/>
  <c r="J15" i="19"/>
  <c r="J5" i="19"/>
  <c r="J4" i="19"/>
  <c r="J14" i="19"/>
  <c r="J3" i="19"/>
  <c r="J13" i="19"/>
  <c r="J16" i="19"/>
  <c r="J29" i="19"/>
  <c r="J20" i="19"/>
  <c r="J12" i="19"/>
  <c r="J30" i="19"/>
  <c r="J31" i="19"/>
  <c r="J21" i="19"/>
  <c r="J6" i="19"/>
  <c r="J7" i="19"/>
  <c r="J23" i="19"/>
  <c r="J9" i="19"/>
  <c r="J22" i="19"/>
  <c r="J32" i="19"/>
  <c r="J33" i="19"/>
  <c r="J24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0" i="19"/>
  <c r="I10" i="19"/>
  <c r="I11" i="19"/>
  <c r="I19" i="19"/>
  <c r="I18" i="19"/>
  <c r="I28" i="19"/>
  <c r="I25" i="19"/>
  <c r="I26" i="19"/>
  <c r="I27" i="19"/>
  <c r="I17" i="19"/>
  <c r="I15" i="19"/>
  <c r="I5" i="19"/>
  <c r="I4" i="19"/>
  <c r="I14" i="19"/>
  <c r="I3" i="19"/>
  <c r="I16" i="19"/>
  <c r="I29" i="19"/>
  <c r="I20" i="19"/>
  <c r="I12" i="19"/>
  <c r="I30" i="19"/>
  <c r="I31" i="19"/>
  <c r="I21" i="19"/>
  <c r="I6" i="19"/>
  <c r="I7" i="19"/>
  <c r="I23" i="19"/>
  <c r="I9" i="19"/>
  <c r="I22" i="19"/>
  <c r="I32" i="19"/>
  <c r="I33" i="19"/>
  <c r="I24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Q4" i="45"/>
  <c r="P4" i="45"/>
  <c r="M4" i="45"/>
  <c r="L4" i="45"/>
  <c r="AD4" i="45" s="1"/>
  <c r="J4" i="45"/>
  <c r="AC4" i="45" s="1"/>
  <c r="G4" i="45"/>
  <c r="F4" i="45"/>
  <c r="AB4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M4" i="43"/>
  <c r="AJ4" i="43"/>
  <c r="AO5" i="43" s="1"/>
  <c r="AI4" i="43"/>
  <c r="AN3" i="43" s="1"/>
  <c r="AH4" i="43"/>
  <c r="AG4" i="43" s="1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P4" i="42" l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P7" i="43" s="1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P6" i="39" l="1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AC3" i="9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L3" i="7"/>
  <c r="AD3" i="7" s="1"/>
  <c r="H3" i="7"/>
  <c r="K4" i="6"/>
  <c r="G6" i="6"/>
  <c r="K6" i="6"/>
  <c r="G4" i="6"/>
  <c r="N6" i="6"/>
  <c r="AJ6" i="6"/>
  <c r="AI6" i="6"/>
  <c r="AH6" i="6"/>
  <c r="AM4" i="6" s="1"/>
  <c r="J6" i="6"/>
  <c r="AD6" i="6" s="1"/>
  <c r="F6" i="6"/>
  <c r="AB6" i="6" s="1"/>
  <c r="AN5" i="6"/>
  <c r="AJ5" i="6"/>
  <c r="AG5" i="6" s="1"/>
  <c r="P5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5" i="5" l="1"/>
  <c r="AC5" i="5"/>
  <c r="AC4" i="5"/>
  <c r="AD3" i="5"/>
  <c r="O3" i="5"/>
  <c r="AC6" i="5"/>
  <c r="AC3" i="5"/>
  <c r="AC5" i="24"/>
  <c r="AD5" i="24"/>
  <c r="AD6" i="24"/>
  <c r="AG4" i="24"/>
  <c r="P4" i="24" s="1"/>
  <c r="AB4" i="24"/>
  <c r="AB3" i="24"/>
  <c r="AB6" i="8"/>
  <c r="AB3" i="8"/>
  <c r="AB4" i="8"/>
  <c r="AC5" i="7"/>
  <c r="AB4" i="7"/>
  <c r="N4" i="7"/>
  <c r="AB3" i="7"/>
  <c r="AO4" i="6"/>
  <c r="AC5" i="6"/>
  <c r="AB3" i="6"/>
  <c r="AB4" i="6"/>
  <c r="O3" i="6"/>
  <c r="N5" i="6"/>
  <c r="AC3" i="6"/>
  <c r="N3" i="6"/>
  <c r="AG3" i="7"/>
  <c r="P3" i="7" s="1"/>
  <c r="AC3" i="8"/>
  <c r="AG3" i="6"/>
  <c r="P3" i="6" s="1"/>
  <c r="AP6" i="6"/>
  <c r="AO5" i="24"/>
  <c r="AP5" i="24" s="1"/>
  <c r="Q5" i="24" s="1"/>
  <c r="AP6" i="5"/>
  <c r="Q6" i="5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P6" i="8"/>
  <c r="O3" i="8"/>
  <c r="AG3" i="8"/>
  <c r="P3" i="8" s="1"/>
  <c r="N4" i="8"/>
  <c r="I6" i="8"/>
  <c r="AC6" i="8" s="1"/>
  <c r="N5" i="7"/>
  <c r="AP3" i="7"/>
  <c r="Q3" i="7" s="1"/>
  <c r="J3" i="7"/>
  <c r="N3" i="7" s="1"/>
  <c r="K3" i="7"/>
  <c r="O3" i="7" s="1"/>
  <c r="AP6" i="7"/>
  <c r="AK6" i="7"/>
  <c r="AK3" i="7"/>
  <c r="M3" i="7"/>
  <c r="K4" i="7"/>
  <c r="AC4" i="7" s="1"/>
  <c r="G5" i="7"/>
  <c r="O5" i="7" s="1"/>
  <c r="O6" i="7"/>
  <c r="AG6" i="7"/>
  <c r="AG5" i="7"/>
  <c r="P5" i="7" s="1"/>
  <c r="L4" i="7"/>
  <c r="AD4" i="7" s="1"/>
  <c r="F6" i="7"/>
  <c r="AB6" i="7" s="1"/>
  <c r="AN4" i="7"/>
  <c r="AK4" i="7" s="1"/>
  <c r="AK5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5" l="1"/>
  <c r="N3" i="5"/>
  <c r="R3" i="5" s="1"/>
  <c r="AB5" i="5"/>
  <c r="N5" i="5"/>
  <c r="AK5" i="24"/>
  <c r="O4" i="24"/>
  <c r="N6" i="24"/>
  <c r="R6" i="24" s="1"/>
  <c r="N4" i="24"/>
  <c r="O4" i="7"/>
  <c r="R4" i="7" s="1"/>
  <c r="O5" i="6"/>
  <c r="R5" i="6" s="1"/>
  <c r="P7" i="6"/>
  <c r="O6" i="8"/>
  <c r="R6" i="8" s="1"/>
  <c r="O5" i="8"/>
  <c r="AC3" i="24"/>
  <c r="R3" i="24" s="1"/>
  <c r="R6" i="10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R5" i="7"/>
  <c r="P7" i="7"/>
  <c r="AC3" i="7"/>
  <c r="R3" i="7" s="1"/>
  <c r="AB5" i="7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5" l="1"/>
  <c r="R4" i="24"/>
  <c r="R5" i="8"/>
  <c r="Q7" i="8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28" i="19"/>
  <c r="M25" i="19"/>
  <c r="M26" i="19"/>
  <c r="M27" i="19"/>
  <c r="M17" i="19"/>
  <c r="M15" i="19"/>
  <c r="M5" i="19"/>
  <c r="M4" i="19"/>
  <c r="M14" i="19"/>
  <c r="M3" i="19"/>
  <c r="M13" i="19"/>
  <c r="M16" i="19"/>
  <c r="M29" i="19"/>
  <c r="M20" i="19"/>
  <c r="M12" i="19"/>
  <c r="M30" i="19"/>
  <c r="M31" i="19"/>
  <c r="M21" i="19"/>
  <c r="M6" i="19"/>
  <c r="M7" i="19"/>
  <c r="M23" i="19"/>
  <c r="M9" i="19"/>
  <c r="M22" i="19"/>
  <c r="M32" i="19"/>
  <c r="M33" i="19"/>
  <c r="M24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0" i="19"/>
  <c r="M11" i="19"/>
  <c r="M19" i="19"/>
  <c r="M18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Y20" i="26"/>
  <c r="Y19" i="26"/>
  <c r="AI14" i="26"/>
  <c r="AI13" i="26"/>
  <c r="O11" i="26"/>
  <c r="O10" i="26"/>
  <c r="Y8" i="26"/>
  <c r="Y7" i="26"/>
  <c r="O5" i="26"/>
  <c r="AL34" i="26" l="1"/>
  <c r="D11" i="36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AC4" i="23" s="1"/>
  <c r="G6" i="23"/>
  <c r="L3" i="23"/>
  <c r="F6" i="23"/>
  <c r="M3" i="23"/>
  <c r="K6" i="23"/>
  <c r="L5" i="23"/>
  <c r="AD5" i="23" s="1"/>
  <c r="M5" i="23"/>
  <c r="J6" i="23"/>
  <c r="H3" i="23"/>
  <c r="G4" i="23"/>
  <c r="O4" i="23" s="1"/>
  <c r="I3" i="23"/>
  <c r="AB3" i="23" s="1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6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4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AX32" i="26" s="1"/>
  <c r="BH45" i="2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Q1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Q20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G47" i="26" l="1"/>
  <c r="Q4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<sst xmlns="http://schemas.openxmlformats.org/spreadsheetml/2006/main" count="2907" uniqueCount="728">
  <si>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</si>
  <si>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</si>
  <si>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</si>
  <si>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</si>
  <si>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</si>
  <si>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</si>
  <si>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</si>
  <si>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</si>
  <si>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</si>
  <si>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</si>
  <si>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</si>
  <si>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</si>
  <si>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</si>
  <si>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</si>
  <si>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</si>
  <si>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</si>
  <si>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</si>
  <si>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</si>
  <si>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</si>
  <si>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</si>
  <si>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</si>
  <si>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</si>
  <si>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</si>
  <si>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</si>
  <si>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</si>
  <si>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</si>
  <si>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</si>
  <si>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</si>
  <si>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</si>
  <si>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</si>
  <si>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</si>
  <si>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</si>
  <si>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</si>
  <si>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</si>
  <si>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</si>
  <si>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</si>
  <si>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</si>
  <si>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</si>
  <si>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</si>
  <si>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</si>
  <si>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</si>
  <si>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</si>
  <si>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</si>
  <si>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</si>
  <si>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</si>
  <si>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</si>
  <si>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</si>
  <si>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</si>
  <si>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</si>
  <si>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</si>
  <si>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</si>
  <si>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</si>
  <si>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</si>
  <si>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</si>
  <si>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</si>
  <si>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</si>
  <si>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</si>
  <si>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</si>
  <si>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</si>
  <si>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</si>
  <si>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</si>
  <si>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</si>
  <si>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</si>
  <si>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</si>
  <si>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</si>
  <si>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</si>
  <si>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</si>
  <si>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</si>
  <si>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</si>
  <si>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</si>
  <si>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</si>
  <si>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</si>
  <si>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</si>
  <si>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</si>
  <si>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</si>
  <si>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</si>
  <si>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</si>
  <si>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</si>
  <si>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</si>
  <si>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</si>
  <si>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</si>
  <si>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</si>
  <si>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</si>
  <si>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</si>
  <si>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</si>
  <si>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</si>
  <si>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</si>
  <si>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</si>
  <si>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</si>
  <si>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</si>
  <si>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</si>
  <si>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</si>
  <si>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</si>
  <si>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</si>
  <si>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</si>
  <si>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</si>
  <si>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</si>
  <si>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</si>
  <si>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</si>
  <si>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</si>
  <si>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</si>
  <si>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</si>
  <si>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</si>
  <si>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</si>
  <si>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</si>
  <si>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</si>
  <si>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</si>
  <si>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</si>
  <si>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</si>
  <si>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</si>
  <si>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</si>
  <si>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</si>
  <si>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</si>
  <si>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</si>
  <si>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</si>
  <si>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</si>
  <si>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</si>
  <si>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</si>
  <si>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</si>
  <si>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</si>
  <si>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</si>
  <si>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</si>
  <si>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</si>
  <si>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</si>
  <si>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</si>
  <si>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</si>
  <si>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</si>
  <si>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</si>
  <si>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</si>
  <si>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</si>
  <si>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</si>
  <si>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</si>
  <si>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</si>
  <si>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</si>
  <si>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</si>
  <si>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</si>
  <si>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</si>
  <si>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</si>
  <si>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</si>
  <si>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</si>
  <si>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</si>
  <si>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</si>
  <si>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</si>
  <si>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</si>
  <si>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</si>
  <si>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</si>
  <si>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</si>
  <si>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</si>
  <si>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</si>
  <si>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</si>
  <si>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</si>
  <si>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</si>
  <si>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</si>
  <si>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</si>
  <si>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</si>
  <si>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</si>
  <si>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</si>
  <si>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</si>
  <si>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</si>
  <si>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</si>
  <si>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</si>
  <si>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</si>
  <si>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</si>
  <si>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</si>
  <si>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</si>
  <si>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</si>
  <si>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</si>
  <si>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</si>
  <si>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</si>
  <si>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</si>
  <si>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</si>
  <si>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</si>
  <si>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</si>
  <si>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</si>
  <si>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</si>
  <si>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</si>
  <si>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</si>
  <si>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</si>
  <si>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</si>
  <si>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</si>
  <si>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</si>
  <si>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</si>
  <si>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</si>
  <si>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</si>
  <si>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</si>
  <si>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</si>
  <si>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</si>
  <si>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</si>
  <si>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</si>
  <si>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</si>
  <si>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</si>
  <si>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</si>
  <si>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</si>
  <si>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</si>
  <si>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</si>
  <si>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</si>
  <si>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</si>
  <si>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</si>
  <si>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</si>
  <si>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</si>
  <si>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</si>
  <si>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</si>
  <si>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</si>
  <si>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</si>
  <si>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</si>
  <si>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</si>
  <si>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</si>
  <si>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</si>
  <si>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</si>
  <si>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</si>
  <si>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</si>
  <si>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</si>
  <si>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</si>
  <si>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</si>
  <si>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</si>
  <si>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</si>
  <si>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</si>
  <si>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</si>
  <si>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</si>
  <si>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</si>
  <si>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</si>
  <si>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</si>
  <si>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</si>
  <si>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</si>
  <si>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</si>
  <si>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</si>
  <si>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</si>
  <si>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</si>
  <si>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</si>
  <si>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</si>
  <si>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</si>
  <si>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</si>
  <si>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</si>
  <si>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</si>
  <si>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</si>
  <si>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</si>
  <si>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</si>
  <si>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</si>
  <si>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</si>
  <si>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</si>
  <si>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</si>
  <si>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</si>
  <si>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</si>
  <si>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</si>
  <si>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</si>
  <si>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</si>
  <si>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</si>
  <si>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</si>
  <si>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</si>
  <si>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</si>
  <si>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</si>
  <si>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</si>
  <si>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</si>
  <si>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</si>
  <si>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</si>
  <si>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</si>
  <si>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</si>
  <si>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</si>
  <si>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</si>
  <si>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</si>
  <si>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</si>
  <si>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</si>
  <si>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</si>
  <si>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</si>
  <si>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</si>
  <si>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</si>
  <si>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</si>
  <si>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</si>
  <si>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</si>
  <si>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</si>
  <si>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</si>
  <si>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</si>
  <si>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</si>
  <si>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</si>
  <si>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</si>
  <si>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</si>
  <si>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</si>
  <si>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</si>
  <si>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</si>
  <si>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</si>
  <si>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</si>
  <si>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</si>
  <si>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</si>
  <si>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</si>
  <si>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</si>
  <si>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</si>
  <si>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</si>
  <si>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</si>
  <si>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</si>
  <si>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</si>
  <si>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</si>
  <si>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</si>
  <si>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</si>
  <si>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</si>
  <si>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</si>
  <si>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</si>
  <si>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</si>
  <si>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</si>
  <si>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</si>
  <si>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</si>
  <si>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</si>
  <si>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</si>
  <si>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</si>
  <si>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</si>
  <si>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</si>
  <si>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</si>
  <si>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</si>
  <si>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</si>
  <si>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</si>
  <si>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</si>
  <si>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</si>
  <si>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</si>
  <si>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</si>
  <si>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</si>
  <si>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</si>
  <si>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</si>
  <si>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</si>
  <si>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</si>
  <si>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</si>
  <si>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</si>
  <si>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</si>
  <si>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</si>
  <si>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</si>
  <si>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</si>
  <si>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</si>
  <si>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</si>
  <si>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</si>
  <si>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</si>
  <si>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</si>
  <si>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</si>
  <si>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</si>
  <si>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</si>
  <si>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</si>
  <si>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</si>
  <si>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</si>
  <si>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</si>
  <si>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</si>
  <si>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</si>
  <si>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</si>
  <si>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</si>
  <si>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</si>
  <si>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</si>
  <si>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</si>
  <si>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</si>
  <si>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</si>
  <si>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</si>
  <si>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</si>
  <si>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</si>
  <si>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</si>
  <si>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</si>
  <si>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</si>
  <si>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</si>
  <si>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</si>
  <si>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</si>
  <si>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</si>
  <si>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</si>
  <si>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</si>
  <si>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</si>
  <si>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</si>
  <si>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</si>
  <si>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</si>
  <si>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</si>
  <si>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</si>
  <si>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</si>
  <si>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</si>
  <si>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</si>
  <si>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</si>
  <si>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</si>
  <si>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</si>
  <si>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</si>
  <si>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</si>
  <si>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</si>
  <si>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</si>
  <si>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</si>
  <si>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</si>
  <si>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</si>
  <si>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</si>
  <si>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</si>
  <si>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</si>
  <si>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</si>
  <si>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</si>
  <si>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</si>
  <si>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</si>
  <si>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</si>
  <si>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</si>
  <si>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</si>
  <si>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</si>
  <si>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</si>
  <si>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</si>
  <si>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</si>
  <si>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</si>
  <si>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</si>
  <si>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</si>
  <si>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</si>
  <si>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</si>
  <si>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</si>
  <si>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</si>
  <si>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</si>
  <si>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</si>
  <si>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</si>
  <si>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</si>
  <si>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</si>
  <si>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</si>
  <si>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</si>
  <si>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</si>
  <si>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</si>
  <si>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</si>
  <si>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</si>
  <si>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</si>
  <si>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</si>
  <si>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</si>
  <si>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</si>
  <si>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</si>
  <si>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</si>
  <si>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</si>
  <si>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</si>
  <si>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</si>
  <si>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</si>
  <si>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</si>
  <si>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</si>
  <si>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</si>
  <si>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</si>
  <si>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</si>
  <si>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</si>
  <si>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</si>
  <si>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</si>
  <si>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</si>
  <si>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</si>
  <si>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</si>
  <si>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</si>
  <si>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</si>
  <si>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</si>
  <si>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</si>
  <si>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</si>
  <si>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</si>
  <si>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</si>
  <si>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</si>
  <si>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</si>
  <si>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</si>
  <si>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</si>
  <si>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</si>
  <si>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</si>
  <si>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</si>
  <si>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</si>
  <si>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</si>
  <si>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</si>
  <si>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</si>
  <si>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</si>
  <si>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</si>
  <si>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</si>
  <si>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</si>
  <si>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</si>
  <si>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</si>
  <si>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</si>
  <si>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</si>
  <si>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</si>
  <si>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</si>
  <si>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</si>
  <si>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</si>
  <si>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</si>
  <si>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</si>
  <si>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</si>
  <si>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</si>
  <si>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</si>
  <si>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</si>
  <si>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</si>
  <si>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</si>
  <si>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</si>
  <si>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</si>
  <si>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</si>
  <si>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</si>
  <si>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</si>
  <si>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</si>
  <si>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</si>
  <si>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</si>
  <si>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</si>
  <si>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</si>
  <si>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</si>
  <si>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</si>
  <si>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</si>
  <si>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</si>
  <si>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</si>
  <si>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</si>
  <si>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</si>
  <si>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</si>
  <si>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</si>
  <si>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</si>
  <si>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</si>
  <si>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</si>
  <si>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</si>
  <si>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</si>
  <si>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</si>
  <si>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</si>
  <si>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</si>
  <si>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</si>
  <si>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</si>
  <si>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</si>
  <si>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</si>
  <si>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</si>
  <si>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</si>
  <si>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</si>
  <si>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</si>
  <si>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</si>
  <si>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</si>
  <si>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</si>
  <si>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</si>
  <si>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</si>
  <si>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</si>
  <si>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</si>
  <si>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</si>
  <si>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</si>
  <si>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</si>
  <si>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</si>
  <si>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</si>
  <si>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</si>
  <si>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</si>
  <si>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</si>
  <si>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</si>
  <si>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</si>
  <si>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</si>
  <si>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</si>
  <si>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</si>
  <si>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</si>
  <si>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</si>
  <si>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</si>
  <si>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</si>
  <si>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</si>
  <si>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</si>
  <si>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</si>
  <si>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</si>
  <si>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</si>
  <si>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</si>
  <si>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</si>
  <si>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</si>
  <si>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</si>
  <si>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</si>
  <si>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</si>
  <si>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</si>
  <si>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</si>
  <si>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</si>
  <si>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</si>
  <si>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</si>
  <si>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</si>
  <si>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</si>
  <si>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</si>
  <si>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</si>
  <si>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</si>
  <si>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</si>
  <si>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</si>
  <si>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</si>
  <si>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</si>
  <si>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</si>
  <si>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</si>
  <si>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</si>
  <si>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</si>
  <si>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</si>
  <si>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</si>
  <si>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</si>
  <si>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</si>
  <si>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</si>
  <si>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</si>
  <si>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</si>
  <si>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</si>
  <si>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</si>
  <si>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</si>
  <si>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</si>
  <si>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</si>
  <si>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</si>
  <si>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</si>
  <si>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</si>
  <si>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</si>
  <si>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</si>
  <si>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</si>
  <si>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</si>
  <si>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</si>
  <si>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</si>
  <si>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</si>
  <si>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</si>
  <si>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</si>
  <si>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</si>
  <si>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</si>
  <si>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</si>
  <si>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</si>
  <si>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</si>
  <si>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</si>
  <si>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</si>
  <si>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</si>
  <si>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</si>
  <si>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</si>
  <si>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</si>
  <si>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</si>
  <si>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</si>
  <si>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</si>
  <si>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</si>
  <si>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</si>
  <si>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</si>
  <si>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</si>
  <si>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</si>
  <si>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</si>
  <si>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</si>
  <si>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</si>
  <si>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</si>
  <si>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</si>
  <si>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</si>
  <si>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</si>
  <si>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</si>
  <si>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</si>
  <si>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</si>
  <si>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</si>
  <si>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</si>
  <si>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</si>
  <si>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</si>
  <si>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</si>
  <si>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</si>
  <si>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</si>
  <si>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</si>
  <si>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</si>
  <si>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</si>
  <si>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</si>
  <si>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</si>
  <si>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</si>
  <si>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</si>
  <si>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</si>
  <si>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</si>
  <si>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</si>
  <si>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</si>
  <si>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</si>
  <si>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</si>
  <si>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</si>
  <si>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</si>
  <si>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</si>
  <si>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</si>
  <si>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</si>
  <si>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</si>
  <si>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</si>
  <si>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</si>
  <si>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</si>
  <si>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</si>
  <si>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</si>
  <si>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</si>
  <si>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</si>
  <si>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</si>
  <si>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</si>
  <si>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</si>
  <si>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</si>
  <si>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</si>
  <si>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</si>
  <si>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</si>
  <si>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</si>
  <si>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</si>
  <si>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</si>
  <si>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</si>
  <si>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</si>
  <si>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</si>
  <si>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</si>
  <si>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</si>
  <si>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</si>
  <si>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</si>
  <si>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</si>
  <si>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</si>
  <si>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</si>
  <si>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</si>
  <si>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</si>
  <si>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</si>
  <si>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</si>
  <si>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</si>
  <si>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</si>
  <si>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</si>
  <si>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</si>
  <si>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</si>
  <si>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</si>
  <si>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</si>
  <si>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</si>
  <si>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</si>
  <si>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</si>
  <si>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</si>
  <si>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</si>
  <si>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</si>
  <si>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</si>
  <si>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</si>
  <si>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</si>
  <si>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</si>
  <si>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</si>
  <si>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</si>
  <si>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</si>
  <si>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</si>
  <si>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</si>
  <si>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</si>
  <si>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</si>
  <si>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</si>
  <si>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</si>
  <si>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</si>
  <si>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</si>
  <si>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</si>
  <si>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</si>
  <si>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</si>
  <si>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</si>
  <si>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</si>
  <si>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</si>
  <si>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</si>
  <si>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</si>
  <si>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</si>
  <si>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</si>
  <si>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</si>
  <si>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</si>
  <si>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</si>
  <si>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</si>
  <si>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</si>
  <si>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</si>
  <si>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</si>
  <si>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</si>
  <si>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</si>
  <si>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</si>
  <si>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</si>
  <si>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</si>
  <si>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</si>
  <si>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</si>
  <si>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</si>
  <si>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</si>
  <si>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</si>
  <si>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</si>
  <si>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</si>
  <si>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</si>
  <si>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</si>
  <si>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</si>
  <si>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</si>
  <si>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Tеодор Волкановски (188)</t>
  </si>
  <si>
    <t>Лука Стојчев (73)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</si>
</sst>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д_е_н_-;\-* #,##0.00\ _д_е_н_-;_-* &quot;-&quot;??\ _д_е_н_-;_-@_-"/>
    <numFmt numFmtId="164" formatCode="dd\.mm\.yyyy;@"/>
    <numFmt numFmtId="165" formatCode="[$-409]General"/>
    <numFmt numFmtId="166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43" fontId="31" fillId="0" borderId="0" applyFont="0" applyFill="0" applyBorder="0" applyAlignment="0" applyProtection="0"/>
    <xf numFmtId="0" fontId="36" fillId="0" borderId="0"/>
    <xf numFmtId="16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/>
    <xf numFmtId="166" fontId="39" fillId="0" borderId="0"/>
  </cellStyleXfs>
  <cellXfs count="5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5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S16" sqref="S16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407" t="s">
        <v>123</v>
      </c>
      <c r="C1" s="408"/>
      <c r="D1" s="408"/>
      <c r="E1" s="408"/>
      <c r="F1" s="409" t="s">
        <v>121</v>
      </c>
      <c r="G1" s="410"/>
      <c r="H1" s="410"/>
      <c r="I1" s="410"/>
      <c r="J1" s="410"/>
      <c r="K1" s="410"/>
      <c r="L1" s="410"/>
      <c r="M1" s="410"/>
      <c r="N1" s="410"/>
      <c r="O1" s="411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5" t="s">
        <v>62</v>
      </c>
      <c r="C3" s="310">
        <v>1</v>
      </c>
      <c r="D3" s="336" t="str">
        <f>IF(ISERROR(VLOOKUP(C3,$G$3:$I$66,3,FALSE)),"",(VLOOKUP(C3,$G$3:$I$66,3,FALSE)))</f>
        <v>Дамјан Стојчев (72)</v>
      </c>
      <c r="E3" s="337" t="str">
        <f>IF(D3="","",INDEX($J$3:$J$42,MATCH(C3,$G$3:$G$42,0)))</f>
        <v>Шампион ФА</v>
      </c>
      <c r="F3" s="342">
        <v>15</v>
      </c>
      <c r="G3" s="395">
        <v>1</v>
      </c>
      <c r="H3" s="397">
        <v>72</v>
      </c>
      <c r="I3" s="343" t="str">
        <f>IF(ISERROR(VLOOKUP(H3,Baza!A:C,2,FALSE)&amp;" "&amp;"("&amp;H3&amp;")"),"",(VLOOKUP(H3,Baza!A:C,2,FALSE)&amp;" "&amp;"("&amp;H3&amp;")"))</f>
        <v>Дамјан Стојчев (72)</v>
      </c>
      <c r="J3" s="343" t="str">
        <f>IF(ISERROR(VLOOKUP(H3,Baza!A:C,3,FALSE)),"",(VLOOKUP(H3,Baza!A:C,3,FALSE)))</f>
        <v>Шампион ФА</v>
      </c>
      <c r="K3" s="359" t="str">
        <f>IF(ISERROR(VLOOKUP(H3,Baza!A:D,4,FALSE)),"",(VLOOKUP(H3,Baza!A:D,4,FALSE)))</f>
        <v>U-21</v>
      </c>
      <c r="M3" s="278" t="e">
        <f t="shared" ref="M3:M34" si="0">VLOOKUP(C3,$H$3:$J$66,3,FALSE)</f>
        <v>#N/A</v>
      </c>
      <c r="N3" s="278">
        <v>15</v>
      </c>
      <c r="O3" s="291">
        <v>1</v>
      </c>
    </row>
    <row r="4" spans="2:17">
      <c r="B4" s="403"/>
      <c r="C4" s="308">
        <v>2</v>
      </c>
      <c r="D4" s="330" t="str">
        <f t="shared" ref="D4:D67" si="1">IF(ISERROR(VLOOKUP(C4,$G$3:$I$66,3,FALSE)),"",(VLOOKUP(C4,$G$3:$I$66,3,FALSE)))</f>
        <v>Кристијан Каламадевски (347)</v>
      </c>
      <c r="E4" s="331" t="str">
        <f t="shared" ref="E4:E66" si="2">IF(D4="","",INDEX($J$3:$J$42,MATCH(C4,$G$3:$G$42,0)))</f>
        <v>Берово</v>
      </c>
      <c r="F4" s="327">
        <v>13</v>
      </c>
      <c r="G4" s="283">
        <v>5</v>
      </c>
      <c r="H4" s="46">
        <v>190</v>
      </c>
      <c r="I4" s="294" t="str">
        <f>IF(ISERROR(VLOOKUP(H4,Baza!A:C,2,FALSE)&amp;" "&amp;"("&amp;H4&amp;")"),"",(VLOOKUP(H4,Baza!A:C,2,FALSE)&amp;" "&amp;"("&amp;H4&amp;")"))</f>
        <v>Нико Доага (190)</v>
      </c>
      <c r="J4" s="294" t="str">
        <f>IF(ISERROR(VLOOKUP(H4,Baza!A:C,3,FALSE)),"",(VLOOKUP(H4,Baza!A:C,3,FALSE)))</f>
        <v>Крушево</v>
      </c>
      <c r="K4" s="358" t="str">
        <f>IF(ISERROR(VLOOKUP(H4,Baza!A:D,4,FALSE)),"",(VLOOKUP(H4,Baza!A:D,4,FALSE)))</f>
        <v>U-18</v>
      </c>
      <c r="M4" s="278" t="e">
        <f t="shared" si="0"/>
        <v>#N/A</v>
      </c>
      <c r="N4" s="278">
        <v>13</v>
      </c>
      <c r="O4" s="282">
        <v>2</v>
      </c>
      <c r="Q4" s="372"/>
    </row>
    <row r="5" spans="2:17">
      <c r="B5" s="403"/>
      <c r="C5" s="308">
        <v>3</v>
      </c>
      <c r="D5" s="330" t="str">
        <f t="shared" si="1"/>
        <v>Андреј Стојановски (47)</v>
      </c>
      <c r="E5" s="331" t="str">
        <f t="shared" si="2"/>
        <v>Крива Паланка</v>
      </c>
      <c r="F5" s="327">
        <v>12</v>
      </c>
      <c r="G5" s="283">
        <v>9</v>
      </c>
      <c r="H5" s="398">
        <v>178</v>
      </c>
      <c r="I5" s="294" t="str">
        <f>IF(ISERROR(VLOOKUP(H5,Baza!A:C,2,FALSE)&amp;" "&amp;"("&amp;H5&amp;")"),"",(VLOOKUP(H5,Baza!A:C,2,FALSE)&amp;" "&amp;"("&amp;H5&amp;")"))</f>
        <v>Александар Јакимовски (178)</v>
      </c>
      <c r="J5" s="294" t="str">
        <f>IF(ISERROR(VLOOKUP(H5,Baza!A:C,3,FALSE)),"",(VLOOKUP(H5,Baza!A:C,3,FALSE)))</f>
        <v>Крива Паланка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12</v>
      </c>
      <c r="O5" s="282">
        <v>3</v>
      </c>
      <c r="Q5" s="372"/>
    </row>
    <row r="6" spans="2:17" ht="16.5" thickBot="1">
      <c r="B6" s="406"/>
      <c r="C6" s="311">
        <v>4</v>
      </c>
      <c r="D6" s="334" t="str">
        <f t="shared" si="1"/>
        <v/>
      </c>
      <c r="E6" s="335" t="str">
        <f t="shared" si="2"/>
        <v/>
      </c>
      <c r="F6" s="327">
        <v>24</v>
      </c>
      <c r="G6" s="283">
        <v>13</v>
      </c>
      <c r="H6" s="397">
        <v>73</v>
      </c>
      <c r="I6" s="294" t="str">
        <f>IF(ISERROR(VLOOKUP(H6,Baza!A:C,2,FALSE)&amp;" "&amp;"("&amp;H6&amp;")"),"",(VLOOKUP(H6,Baza!A:C,2,FALSE)&amp;" "&amp;"("&amp;H6&amp;")"))</f>
        <v>Лука Стојчев (73)</v>
      </c>
      <c r="J6" s="294" t="str">
        <f>IF(ISERROR(VLOOKUP(H6,Baza!A:C,3,FALSE)),"",(VLOOKUP(H6,Baza!A:C,3,FALSE)))</f>
        <v>Шампион ФА</v>
      </c>
      <c r="K6" s="358" t="str">
        <f>IF(ISERROR(VLOOKUP(H6,Baza!A:D,4,FALSE)),"",(VLOOKUP(H6,Baza!A:D,4,FALSE)))</f>
        <v>U-15</v>
      </c>
      <c r="M6" s="278" t="e">
        <f t="shared" si="0"/>
        <v>#N/A</v>
      </c>
      <c r="N6" s="278">
        <v>24</v>
      </c>
      <c r="O6" s="282">
        <v>3</v>
      </c>
      <c r="Q6" s="372"/>
    </row>
    <row r="7" spans="2:17">
      <c r="B7" s="402" t="s">
        <v>63</v>
      </c>
      <c r="C7" s="307">
        <v>5</v>
      </c>
      <c r="D7" s="328" t="str">
        <f t="shared" si="1"/>
        <v>Нико Доага (190)</v>
      </c>
      <c r="E7" s="329" t="str">
        <f t="shared" si="2"/>
        <v>Крушево</v>
      </c>
      <c r="F7" s="327">
        <v>25</v>
      </c>
      <c r="G7" s="283">
        <v>17</v>
      </c>
      <c r="H7" s="398">
        <v>188</v>
      </c>
      <c r="I7" s="294" t="str">
        <f>IF(ISERROR(VLOOKUP(H7,Baza!A:C,2,FALSE)&amp;" "&amp;"("&amp;H7&amp;")"),"",(VLOOKUP(H7,Baza!A:C,2,FALSE)&amp;" "&amp;"("&amp;H7&amp;")"))</f>
        <v>Teодор Волкановски (188)</v>
      </c>
      <c r="J7" s="294" t="str">
        <f>IF(ISERROR(VLOOKUP(H7,Baza!A:C,3,FALSE)),"",(VLOOKUP(H7,Baza!A:C,3,FALSE)))</f>
        <v>Крушево</v>
      </c>
      <c r="K7" s="358" t="str">
        <f>IF(ISERROR(VLOOKUP(H7,Baza!A:D,4,FALSE)),"",(VLOOKUP(H7,Baza!A:D,4,FALSE)))</f>
        <v>U-18</v>
      </c>
      <c r="M7" s="278" t="e">
        <f t="shared" si="0"/>
        <v>#N/A</v>
      </c>
      <c r="N7" s="278">
        <v>25</v>
      </c>
      <c r="O7" s="282">
        <v>5</v>
      </c>
      <c r="Q7" s="372"/>
    </row>
    <row r="8" spans="2:17">
      <c r="B8" s="403"/>
      <c r="C8" s="308">
        <v>6</v>
      </c>
      <c r="D8" s="330" t="str">
        <f t="shared" si="1"/>
        <v>Андреј Васевски (203)</v>
      </c>
      <c r="E8" s="331" t="str">
        <f t="shared" si="2"/>
        <v>Куманово</v>
      </c>
      <c r="F8" s="327">
        <v>1</v>
      </c>
      <c r="G8" s="282">
        <v>21</v>
      </c>
      <c r="H8" s="398">
        <v>177</v>
      </c>
      <c r="I8" s="294" t="str">
        <f>IF(ISERROR(VLOOKUP(H8,Baza!A:C,2,FALSE)&amp;" "&amp;"("&amp;H8&amp;")"),"",(VLOOKUP(H8,Baza!A:C,2,FALSE)&amp;" "&amp;"("&amp;H8&amp;")"))</f>
        <v>Антонио Крстевски (177)</v>
      </c>
      <c r="J8" s="294" t="str">
        <f>IF(ISERROR(VLOOKUP(H8,Baza!A:C,3,FALSE)),"",(VLOOKUP(H8,Baza!A:C,3,FALSE)))</f>
        <v>Крива Паланка</v>
      </c>
      <c r="K8" s="358" t="str">
        <f>IF(ISERROR(VLOOKUP(H8,Baza!A:D,4,FALSE)),"",(VLOOKUP(H8,Baza!A:D,4,FALSE)))</f>
        <v>U-18</v>
      </c>
      <c r="M8" s="278" t="e">
        <f t="shared" si="0"/>
        <v>#N/A</v>
      </c>
      <c r="N8" s="278">
        <v>1</v>
      </c>
      <c r="O8" s="282">
        <v>5</v>
      </c>
      <c r="Q8" s="372"/>
    </row>
    <row r="9" spans="2:17">
      <c r="B9" s="403"/>
      <c r="C9" s="308">
        <v>7</v>
      </c>
      <c r="D9" s="330" t="str">
        <f t="shared" si="1"/>
        <v>Антонио Аврамски (144)</v>
      </c>
      <c r="E9" s="331" t="str">
        <f t="shared" si="2"/>
        <v>Берово</v>
      </c>
      <c r="F9" s="327">
        <v>27</v>
      </c>
      <c r="G9" s="283">
        <v>18</v>
      </c>
      <c r="H9" s="398">
        <v>130</v>
      </c>
      <c r="I9" s="294" t="str">
        <f>IF(ISERROR(VLOOKUP(H9,Baza!A:C,2,FALSE)&amp;" "&amp;"("&amp;H9&amp;")"),"",(VLOOKUP(H9,Baza!A:C,2,FALSE)&amp;" "&amp;"("&amp;H9&amp;")"))</f>
        <v>Борис Секулов (130)</v>
      </c>
      <c r="J9" s="294" t="str">
        <f>IF(ISERROR(VLOOKUP(H9,Baza!A:C,3,FALSE)),"",(VLOOKUP(H9,Baza!A:C,3,FALSE)))</f>
        <v>Астраион</v>
      </c>
      <c r="K9" s="358" t="str">
        <f>IF(ISERROR(VLOOKUP(H9,Baza!A:D,4,FALSE)),"",(VLOOKUP(H9,Baza!A:D,4,FALSE)))</f>
        <v>U-15</v>
      </c>
      <c r="M9" s="278" t="e">
        <f t="shared" si="0"/>
        <v>#N/A</v>
      </c>
      <c r="N9" s="278">
        <v>27</v>
      </c>
      <c r="O9" s="282">
        <v>7</v>
      </c>
      <c r="Q9" s="372"/>
    </row>
    <row r="10" spans="2:17" ht="16.5" thickBot="1">
      <c r="B10" s="404"/>
      <c r="C10" s="309">
        <v>8</v>
      </c>
      <c r="D10" s="332" t="str">
        <f t="shared" si="1"/>
        <v>Кристијан Митев (420)</v>
      </c>
      <c r="E10" s="333" t="str">
        <f t="shared" si="2"/>
        <v>Пелагонија</v>
      </c>
      <c r="F10" s="327">
        <v>2</v>
      </c>
      <c r="G10" s="283">
        <v>10</v>
      </c>
      <c r="H10" s="46">
        <v>131</v>
      </c>
      <c r="I10" s="294" t="str">
        <f>IF(ISERROR(VLOOKUP(H10,Baza!A:C,2,FALSE)&amp;" "&amp;"("&amp;H10&amp;")"),"",(VLOOKUP(H10,Baza!A:C,2,FALSE)&amp;" "&amp;"("&amp;H10&amp;")"))</f>
        <v>Томе Милев (131)</v>
      </c>
      <c r="J10" s="294" t="str">
        <f>IF(ISERROR(VLOOKUP(H10,Baza!A:C,3,FALSE)),"",(VLOOKUP(H10,Baza!A:C,3,FALSE)))</f>
        <v>Астраион</v>
      </c>
      <c r="K10" s="358" t="str">
        <f>IF(ISERROR(VLOOKUP(H10,Baza!A:D,4,FALSE)),"",(VLOOKUP(H10,Baza!A:D,4,FALSE)))</f>
        <v>U-18</v>
      </c>
      <c r="M10" s="278" t="e">
        <f t="shared" si="0"/>
        <v>#N/A</v>
      </c>
      <c r="N10" s="278">
        <v>2</v>
      </c>
      <c r="O10" s="282">
        <v>7</v>
      </c>
      <c r="Q10" s="372"/>
    </row>
    <row r="11" spans="2:17">
      <c r="B11" s="405" t="s">
        <v>64</v>
      </c>
      <c r="C11" s="310">
        <v>9</v>
      </c>
      <c r="D11" s="336" t="str">
        <f t="shared" si="1"/>
        <v>Александар Јакимовски (178)</v>
      </c>
      <c r="E11" s="337" t="str">
        <f t="shared" si="2"/>
        <v>Крива Паланка</v>
      </c>
      <c r="F11" s="327">
        <v>3</v>
      </c>
      <c r="G11" s="283">
        <v>14</v>
      </c>
      <c r="H11" s="46">
        <v>108</v>
      </c>
      <c r="I11" s="294" t="str">
        <f>IF(ISERROR(VLOOKUP(H11,Baza!A:C,2,FALSE)&amp;" "&amp;"("&amp;H11&amp;")"),"",(VLOOKUP(H11,Baza!A:C,2,FALSE)&amp;" "&amp;"("&amp;H11&amp;")"))</f>
        <v>Даниел Главевски Зхоу  (108)</v>
      </c>
      <c r="J11" s="294" t="str">
        <f>IF(ISERROR(VLOOKUP(H11,Baza!A:C,3,FALSE)),"",(VLOOKUP(H11,Baza!A:C,3,FALSE)))</f>
        <v>Пелагонија</v>
      </c>
      <c r="K11" s="358" t="str">
        <f>IF(ISERROR(VLOOKUP(H11,Baza!A:D,4,FALSE)),"",(VLOOKUP(H11,Baza!A:D,4,FALSE)))</f>
        <v>U-18</v>
      </c>
      <c r="M11" s="278" t="e">
        <f t="shared" si="0"/>
        <v>#N/A</v>
      </c>
      <c r="N11" s="278">
        <v>3</v>
      </c>
      <c r="O11" s="282">
        <v>7</v>
      </c>
      <c r="Q11" s="372"/>
    </row>
    <row r="12" spans="2:17">
      <c r="B12" s="403"/>
      <c r="C12" s="308">
        <v>10</v>
      </c>
      <c r="D12" s="330" t="str">
        <f t="shared" si="1"/>
        <v>Томе Милев (131)</v>
      </c>
      <c r="E12" s="331" t="str">
        <f t="shared" si="2"/>
        <v>Астраион</v>
      </c>
      <c r="F12" s="327">
        <v>20</v>
      </c>
      <c r="G12" s="283">
        <v>22</v>
      </c>
      <c r="H12" s="398">
        <v>76</v>
      </c>
      <c r="I12" s="294" t="str">
        <f>IF(ISERROR(VLOOKUP(H12,Baza!A:C,2,FALSE)&amp;" "&amp;"("&amp;H12&amp;")"),"",(VLOOKUP(H12,Baza!A:C,2,FALSE)&amp;" "&amp;"("&amp;H12&amp;")"))</f>
        <v>Иван Богатинов (76)</v>
      </c>
      <c r="J12" s="294" t="str">
        <f>IF(ISERROR(VLOOKUP(H12,Baza!A:C,3,FALSE)),"",(VLOOKUP(H12,Baza!A:C,3,FALSE)))</f>
        <v>Шампион ФА</v>
      </c>
      <c r="K12" s="358" t="str">
        <f>IF(ISERROR(VLOOKUP(H12,Baza!A:D,4,FALSE)),"",(VLOOKUP(H12,Baza!A:D,4,FALSE)))</f>
        <v>U-18</v>
      </c>
      <c r="M12" s="278" t="e">
        <f t="shared" si="0"/>
        <v>#N/A</v>
      </c>
      <c r="N12" s="278">
        <v>20</v>
      </c>
      <c r="O12" s="282">
        <v>7</v>
      </c>
      <c r="Q12" s="372"/>
    </row>
    <row r="13" spans="2:17">
      <c r="B13" s="403"/>
      <c r="C13" s="308">
        <v>11</v>
      </c>
      <c r="D13" s="330" t="str">
        <f t="shared" si="1"/>
        <v>Михаил Стојаноски (345)</v>
      </c>
      <c r="E13" s="331" t="str">
        <f t="shared" si="2"/>
        <v>Студент</v>
      </c>
      <c r="F13" s="327">
        <v>16</v>
      </c>
      <c r="G13" s="283">
        <v>6</v>
      </c>
      <c r="H13" s="398">
        <v>203</v>
      </c>
      <c r="I13" s="294" t="str">
        <f>IF(ISERROR(VLOOKUP(H13,Baza!A:C,2,FALSE)&amp;" "&amp;"("&amp;H13&amp;")"),"",(VLOOKUP(H13,Baza!A:C,2,FALSE)&amp;" "&amp;"("&amp;H13&amp;")"))</f>
        <v>Андреј Васевски (203)</v>
      </c>
      <c r="J13" s="294" t="str">
        <f>IF(ISERROR(VLOOKUP(H13,Baza!A:C,3,FALSE)),"",(VLOOKUP(H13,Baza!A:C,3,FALSE)))</f>
        <v>Куманово</v>
      </c>
      <c r="K13" s="358" t="str">
        <f>IF(ISERROR(VLOOKUP(H13,Baza!A:D,4,FALSE)),"",(VLOOKUP(H13,Baza!A:D,4,FALSE)))</f>
        <v>U-15</v>
      </c>
      <c r="M13" s="278" t="e">
        <f t="shared" si="0"/>
        <v>#N/A</v>
      </c>
      <c r="N13" s="278">
        <v>16</v>
      </c>
      <c r="O13" s="282">
        <v>11</v>
      </c>
      <c r="Q13" s="372"/>
    </row>
    <row r="14" spans="2:17" ht="16.5" thickBot="1">
      <c r="B14" s="406"/>
      <c r="C14" s="311">
        <v>12</v>
      </c>
      <c r="D14" s="334" t="str">
        <f t="shared" si="1"/>
        <v>Антонио Вељановски (261)</v>
      </c>
      <c r="E14" s="335" t="str">
        <f t="shared" si="2"/>
        <v>Пелагонија</v>
      </c>
      <c r="F14" s="327">
        <v>14</v>
      </c>
      <c r="G14" s="283">
        <v>11</v>
      </c>
      <c r="H14" s="398">
        <v>345</v>
      </c>
      <c r="I14" s="294" t="str">
        <f>IF(ISERROR(VLOOKUP(H14,Baza!A:C,2,FALSE)&amp;" "&amp;"("&amp;H14&amp;")"),"",(VLOOKUP(H14,Baza!A:C,2,FALSE)&amp;" "&amp;"("&amp;H14&amp;")"))</f>
        <v>Михаил Стојаноски (345)</v>
      </c>
      <c r="J14" s="294" t="str">
        <f>IF(ISERROR(VLOOKUP(H14,Baza!A:C,3,FALSE)),"",(VLOOKUP(H14,Baza!A:C,3,FALSE)))</f>
        <v>Студент</v>
      </c>
      <c r="K14" s="358" t="str">
        <f>IF(ISERROR(VLOOKUP(H14,Baza!A:D,4,FALSE)),"",(VLOOKUP(H14,Baza!A:D,4,FALSE)))</f>
        <v>U-15</v>
      </c>
      <c r="M14" s="278" t="e">
        <f t="shared" si="0"/>
        <v>#N/A</v>
      </c>
      <c r="N14" s="278">
        <v>14</v>
      </c>
      <c r="O14" s="282">
        <v>12</v>
      </c>
    </row>
    <row r="15" spans="2:17">
      <c r="B15" s="402" t="s">
        <v>65</v>
      </c>
      <c r="C15" s="307">
        <v>13</v>
      </c>
      <c r="D15" s="328" t="str">
        <f t="shared" si="1"/>
        <v>Лука Стојчев (73)</v>
      </c>
      <c r="E15" s="329" t="str">
        <f t="shared" si="2"/>
        <v>Шампион ФА</v>
      </c>
      <c r="F15" s="327">
        <v>11</v>
      </c>
      <c r="G15" s="283">
        <v>7</v>
      </c>
      <c r="H15" s="398">
        <v>144</v>
      </c>
      <c r="I15" s="294" t="str">
        <f>IF(ISERROR(VLOOKUP(H15,Baza!A:C,2,FALSE)&amp;" "&amp;"("&amp;H15&amp;")"),"",(VLOOKUP(H15,Baza!A:C,2,FALSE)&amp;" "&amp;"("&amp;H15&amp;")"))</f>
        <v>Антонио Аврамски (144)</v>
      </c>
      <c r="J15" s="294" t="str">
        <f>IF(ISERROR(VLOOKUP(H15,Baza!A:C,3,FALSE)),"",(VLOOKUP(H15,Baza!A:C,3,FALSE)))</f>
        <v>Берово</v>
      </c>
      <c r="K15" s="358" t="str">
        <f>IF(ISERROR(VLOOKUP(H15,Baza!A:D,4,FALSE)),"",(VLOOKUP(H15,Baza!A:D,4,FALSE)))</f>
        <v>U-15</v>
      </c>
      <c r="M15" s="278" t="e">
        <f t="shared" si="0"/>
        <v>#N/A</v>
      </c>
      <c r="N15" s="278">
        <v>11</v>
      </c>
      <c r="O15" s="282">
        <v>12</v>
      </c>
    </row>
    <row r="16" spans="2:17">
      <c r="B16" s="403"/>
      <c r="C16" s="308">
        <v>14</v>
      </c>
      <c r="D16" s="330" t="str">
        <f t="shared" si="1"/>
        <v>Даниел Главевски Зхоу  (108)</v>
      </c>
      <c r="E16" s="331" t="str">
        <f t="shared" si="2"/>
        <v>Пелагонија</v>
      </c>
      <c r="F16" s="327">
        <v>17</v>
      </c>
      <c r="G16" s="283">
        <v>2</v>
      </c>
      <c r="H16" s="398">
        <v>347</v>
      </c>
      <c r="I16" s="294" t="str">
        <f>IF(ISERROR(VLOOKUP(H16,Baza!A:C,2,FALSE)&amp;" "&amp;"("&amp;H16&amp;")"),"",(VLOOKUP(H16,Baza!A:C,2,FALSE)&amp;" "&amp;"("&amp;H16&amp;")"))</f>
        <v>Кристијан Каламадевски (347)</v>
      </c>
      <c r="J16" s="294" t="str">
        <f>IF(ISERROR(VLOOKUP(H16,Baza!A:C,3,FALSE)),"",(VLOOKUP(H16,Baza!A:C,3,FALSE)))</f>
        <v>Берово</v>
      </c>
      <c r="K16" s="358" t="str">
        <f>IF(ISERROR(VLOOKUP(H16,Baza!A:D,4,FALSE)),"",(VLOOKUP(H16,Baza!A:D,4,FALSE)))</f>
        <v>U-12</v>
      </c>
      <c r="M16" s="278" t="e">
        <f t="shared" si="0"/>
        <v>#N/A</v>
      </c>
      <c r="N16" s="278">
        <v>17</v>
      </c>
      <c r="O16" s="282">
        <v>12</v>
      </c>
    </row>
    <row r="17" spans="2:15">
      <c r="B17" s="403"/>
      <c r="C17" s="308">
        <v>15</v>
      </c>
      <c r="D17" s="330" t="str">
        <f t="shared" si="1"/>
        <v>Лука Серафимовски  (161)</v>
      </c>
      <c r="E17" s="331" t="str">
        <f t="shared" si="2"/>
        <v>Винспин</v>
      </c>
      <c r="F17" s="327">
        <v>10</v>
      </c>
      <c r="G17" s="283">
        <v>3</v>
      </c>
      <c r="H17" s="398">
        <v>47</v>
      </c>
      <c r="I17" s="294" t="str">
        <f>IF(ISERROR(VLOOKUP(H17,Baza!A:C,2,FALSE)&amp;" "&amp;"("&amp;H17&amp;")"),"",(VLOOKUP(H17,Baza!A:C,2,FALSE)&amp;" "&amp;"("&amp;H17&amp;")"))</f>
        <v>Андреј Стојановски (47)</v>
      </c>
      <c r="J17" s="294" t="str">
        <f>IF(ISERROR(VLOOKUP(H17,Baza!A:C,3,FALSE)),"",(VLOOKUP(H17,Baza!A:C,3,FALSE)))</f>
        <v>Крива Паланка</v>
      </c>
      <c r="K17" s="358" t="str">
        <f>IF(ISERROR(VLOOKUP(H17,Baza!A:D,4,FALSE)),"",(VLOOKUP(H17,Baza!A:D,4,FALSE)))</f>
        <v>U-15</v>
      </c>
      <c r="M17" s="278" t="e">
        <f t="shared" si="0"/>
        <v>#N/A</v>
      </c>
      <c r="N17" s="278">
        <v>10</v>
      </c>
      <c r="O17" s="282">
        <v>12</v>
      </c>
    </row>
    <row r="18" spans="2:15" ht="16.5" thickBot="1">
      <c r="B18" s="404"/>
      <c r="C18" s="309">
        <v>16</v>
      </c>
      <c r="D18" s="332" t="str">
        <f t="shared" si="1"/>
        <v/>
      </c>
      <c r="E18" s="333" t="str">
        <f t="shared" si="2"/>
        <v/>
      </c>
      <c r="F18" s="327">
        <v>5</v>
      </c>
      <c r="G18" s="283">
        <v>12</v>
      </c>
      <c r="H18" s="398">
        <v>261</v>
      </c>
      <c r="I18" s="294" t="str">
        <f>IF(ISERROR(VLOOKUP(H18,Baza!A:C,2,FALSE)&amp;" "&amp;"("&amp;H18&amp;")"),"",(VLOOKUP(H18,Baza!A:C,2,FALSE)&amp;" "&amp;"("&amp;H18&amp;")"))</f>
        <v>Антонио Вељановски (261)</v>
      </c>
      <c r="J18" s="294" t="str">
        <f>IF(ISERROR(VLOOKUP(H18,Baza!A:C,3,FALSE)),"",(VLOOKUP(H18,Baza!A:C,3,FALSE)))</f>
        <v>Пелагонија</v>
      </c>
      <c r="K18" s="358" t="str">
        <f>IF(ISERROR(VLOOKUP(H18,Baza!A:D,4,FALSE)),"",(VLOOKUP(H18,Baza!A:D,4,FALSE)))</f>
        <v>U-18</v>
      </c>
      <c r="M18" s="278" t="e">
        <f t="shared" si="0"/>
        <v>#N/A</v>
      </c>
      <c r="N18" s="278">
        <v>5</v>
      </c>
      <c r="O18" s="282">
        <v>16</v>
      </c>
    </row>
    <row r="19" spans="2:15">
      <c r="B19" s="405" t="s">
        <v>66</v>
      </c>
      <c r="C19" s="316">
        <v>17</v>
      </c>
      <c r="D19" s="336" t="str">
        <f t="shared" si="1"/>
        <v>Teодор Волкановски (188)</v>
      </c>
      <c r="E19" s="337" t="str">
        <f t="shared" si="2"/>
        <v>Крушево</v>
      </c>
      <c r="F19" s="327">
        <v>4</v>
      </c>
      <c r="G19" s="283">
        <v>19</v>
      </c>
      <c r="H19" s="398">
        <v>299</v>
      </c>
      <c r="I19" s="294" t="str">
        <f>IF(ISERROR(VLOOKUP(H19,Baza!A:C,2,FALSE)&amp;" "&amp;"("&amp;H19&amp;")"),"",(VLOOKUP(H19,Baza!A:C,2,FALSE)&amp;" "&amp;"("&amp;H19&amp;")"))</f>
        <v>Филип Ангела (299)</v>
      </c>
      <c r="J19" s="294" t="str">
        <f>IF(ISERROR(VLOOKUP(H19,Baza!A:C,3,FALSE)),"",(VLOOKUP(H19,Baza!A:C,3,FALSE)))</f>
        <v>Пелагонија</v>
      </c>
      <c r="K19" s="358" t="str">
        <f>IF(ISERROR(VLOOKUP(H19,Baza!A:D,4,FALSE)),"",(VLOOKUP(H19,Baza!A:D,4,FALSE)))</f>
        <v>U-15</v>
      </c>
      <c r="M19" s="278" t="e">
        <f t="shared" si="0"/>
        <v>#N/A</v>
      </c>
      <c r="N19" s="278">
        <v>4</v>
      </c>
      <c r="O19" s="282">
        <v>16</v>
      </c>
    </row>
    <row r="20" spans="2:15">
      <c r="B20" s="403"/>
      <c r="C20" s="313">
        <v>18</v>
      </c>
      <c r="D20" s="330" t="str">
        <f t="shared" si="1"/>
        <v>Борис Секулов (130)</v>
      </c>
      <c r="E20" s="331" t="str">
        <f t="shared" si="2"/>
        <v>Астраион</v>
      </c>
      <c r="F20" s="327">
        <v>19</v>
      </c>
      <c r="G20" s="283">
        <v>8</v>
      </c>
      <c r="H20" s="398">
        <v>420</v>
      </c>
      <c r="I20" s="294" t="str">
        <f>IF(ISERROR(VLOOKUP(H20,Baza!A:C,2,FALSE)&amp;" "&amp;"("&amp;H20&amp;")"),"",(VLOOKUP(H20,Baza!A:C,2,FALSE)&amp;" "&amp;"("&amp;H20&amp;")"))</f>
        <v>Кристијан Митев (420)</v>
      </c>
      <c r="J20" s="294" t="str">
        <f>IF(ISERROR(VLOOKUP(H20,Baza!A:C,3,FALSE)),"",(VLOOKUP(H20,Baza!A:C,3,FALSE)))</f>
        <v>Пелагонија</v>
      </c>
      <c r="K20" s="358" t="str">
        <f>IF(ISERROR(VLOOKUP(H20,Baza!A:D,4,FALSE)),"",(VLOOKUP(H20,Baza!A:D,4,FALSE)))</f>
        <v>U-12</v>
      </c>
      <c r="M20" s="278" t="e">
        <f t="shared" si="0"/>
        <v>#N/A</v>
      </c>
      <c r="N20" s="278">
        <v>19</v>
      </c>
      <c r="O20" s="282">
        <v>16</v>
      </c>
    </row>
    <row r="21" spans="2:15">
      <c r="B21" s="403"/>
      <c r="C21" s="313">
        <v>19</v>
      </c>
      <c r="D21" s="330" t="str">
        <f t="shared" si="1"/>
        <v>Филип Ангела (299)</v>
      </c>
      <c r="E21" s="331" t="str">
        <f t="shared" si="2"/>
        <v>Пелагонија</v>
      </c>
      <c r="F21" s="327">
        <v>23</v>
      </c>
      <c r="G21" s="283">
        <v>23</v>
      </c>
      <c r="H21" s="398">
        <v>440</v>
      </c>
      <c r="I21" s="294" t="str">
        <f>IF(ISERROR(VLOOKUP(H21,Baza!A:C,2,FALSE)&amp;" "&amp;"("&amp;H21&amp;")"),"",(VLOOKUP(H21,Baza!A:C,2,FALSE)&amp;" "&amp;"("&amp;H21&amp;")"))</f>
        <v>Андреј Бејковски (440)</v>
      </c>
      <c r="J21" s="294" t="str">
        <f>IF(ISERROR(VLOOKUP(H21,Baza!A:C,3,FALSE)),"",(VLOOKUP(H21,Baza!A:C,3,FALSE)))</f>
        <v>Пелагонија</v>
      </c>
      <c r="K21" s="358">
        <f>IF(ISERROR(VLOOKUP(H21,Baza!A:D,4,FALSE)),"",(VLOOKUP(H21,Baza!A:D,4,FALSE)))</f>
        <v>0</v>
      </c>
      <c r="M21" s="278" t="e">
        <f t="shared" si="0"/>
        <v>#N/A</v>
      </c>
      <c r="N21" s="278">
        <v>23</v>
      </c>
      <c r="O21" s="282">
        <v>16</v>
      </c>
    </row>
    <row r="22" spans="2:15" ht="16.5" thickBot="1">
      <c r="B22" s="406"/>
      <c r="C22" s="314">
        <v>20</v>
      </c>
      <c r="D22" s="334" t="str">
        <f t="shared" si="1"/>
        <v/>
      </c>
      <c r="E22" s="335" t="str">
        <f t="shared" si="2"/>
        <v/>
      </c>
      <c r="F22" s="327">
        <v>28</v>
      </c>
      <c r="G22" s="283">
        <v>15</v>
      </c>
      <c r="H22" s="46">
        <v>161</v>
      </c>
      <c r="I22" s="294" t="str">
        <f>IF(ISERROR(VLOOKUP(H22,Baza!A:C,2,FALSE)&amp;" "&amp;"("&amp;H22&amp;")"),"",(VLOOKUP(H22,Baza!A:C,2,FALSE)&amp;" "&amp;"("&amp;H22&amp;")"))</f>
        <v>Лука Серафимовски  (161)</v>
      </c>
      <c r="J22" s="294" t="str">
        <f>IF(ISERROR(VLOOKUP(H22,Baza!A:C,3,FALSE)),"",(VLOOKUP(H22,Baza!A:C,3,FALSE)))</f>
        <v>Винспин</v>
      </c>
      <c r="K22" s="358" t="str">
        <f>IF(ISERROR(VLOOKUP(H22,Baza!A:D,4,FALSE)),"",(VLOOKUP(H22,Baza!A:D,4,FALSE)))</f>
        <v>U-18</v>
      </c>
      <c r="M22" s="278" t="e">
        <f t="shared" si="0"/>
        <v>#N/A</v>
      </c>
      <c r="N22" s="278">
        <v>28</v>
      </c>
      <c r="O22" s="282">
        <v>16</v>
      </c>
    </row>
    <row r="23" spans="2:15">
      <c r="B23" s="402" t="s">
        <v>67</v>
      </c>
      <c r="C23" s="312">
        <v>21</v>
      </c>
      <c r="D23" s="328" t="str">
        <f t="shared" si="1"/>
        <v>Антонио Крстевски (177)</v>
      </c>
      <c r="E23" s="329" t="str">
        <f t="shared" si="2"/>
        <v>Крива Паланка</v>
      </c>
      <c r="F23" s="327">
        <v>26</v>
      </c>
      <c r="G23" s="283">
        <v>24</v>
      </c>
      <c r="H23" s="46">
        <v>158</v>
      </c>
      <c r="I23" s="294" t="str">
        <f>IF(ISERROR(VLOOKUP(H23,Baza!A:C,2,FALSE)&amp;" "&amp;"("&amp;H23&amp;")"),"",(VLOOKUP(H23,Baza!A:C,2,FALSE)&amp;" "&amp;"("&amp;H23&amp;")"))</f>
        <v>Леонид Гошев (158)</v>
      </c>
      <c r="J23" s="294" t="str">
        <f>IF(ISERROR(VLOOKUP(H23,Baza!A:C,3,FALSE)),"",(VLOOKUP(H23,Baza!A:C,3,FALSE)))</f>
        <v>Винспин</v>
      </c>
      <c r="K23" s="358" t="str">
        <f>IF(ISERROR(VLOOKUP(H23,Baza!A:D,4,FALSE)),"",(VLOOKUP(H23,Baza!A:D,4,FALSE)))</f>
        <v>U-21</v>
      </c>
      <c r="M23" s="278" t="e">
        <f t="shared" si="0"/>
        <v>#N/A</v>
      </c>
      <c r="N23" s="278">
        <v>26</v>
      </c>
      <c r="O23" s="282">
        <v>16</v>
      </c>
    </row>
    <row r="24" spans="2:15">
      <c r="B24" s="403"/>
      <c r="C24" s="313">
        <v>22</v>
      </c>
      <c r="D24" s="330" t="str">
        <f t="shared" si="1"/>
        <v>Иван Богатинов (76)</v>
      </c>
      <c r="E24" s="331" t="str">
        <f t="shared" si="2"/>
        <v>Шампион ФА</v>
      </c>
      <c r="F24" s="327">
        <v>31</v>
      </c>
      <c r="G24" s="283"/>
      <c r="H24" s="397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31</v>
      </c>
      <c r="O24" s="282"/>
    </row>
    <row r="25" spans="2:15">
      <c r="B25" s="403"/>
      <c r="C25" s="313">
        <v>23</v>
      </c>
      <c r="D25" s="330" t="str">
        <f t="shared" si="1"/>
        <v>Андреј Бејковски (440)</v>
      </c>
      <c r="E25" s="331" t="str">
        <f t="shared" si="2"/>
        <v>Пелагонија</v>
      </c>
      <c r="F25" s="327">
        <v>7</v>
      </c>
      <c r="G25" s="283"/>
      <c r="H25" s="397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7</v>
      </c>
      <c r="O25" s="282"/>
    </row>
    <row r="26" spans="2:15" ht="16.5" thickBot="1">
      <c r="B26" s="404"/>
      <c r="C26" s="315">
        <v>24</v>
      </c>
      <c r="D26" s="332" t="str">
        <f t="shared" si="1"/>
        <v>Леонид Гошев (158)</v>
      </c>
      <c r="E26" s="333" t="str">
        <f t="shared" si="2"/>
        <v>Винспин</v>
      </c>
      <c r="F26" s="327">
        <v>8</v>
      </c>
      <c r="G26" s="283"/>
      <c r="H26" s="397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8</v>
      </c>
      <c r="O26" s="282"/>
    </row>
    <row r="27" spans="2:15">
      <c r="B27" s="405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9</v>
      </c>
      <c r="G27" s="283"/>
      <c r="H27" s="397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282"/>
    </row>
    <row r="28" spans="2:15">
      <c r="B28" s="403"/>
      <c r="C28" s="313">
        <v>26</v>
      </c>
      <c r="D28" s="330" t="str">
        <f t="shared" si="1"/>
        <v/>
      </c>
      <c r="E28" s="331" t="str">
        <f t="shared" si="2"/>
        <v/>
      </c>
      <c r="F28" s="327">
        <v>6</v>
      </c>
      <c r="G28" s="283"/>
      <c r="H28" s="397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6</v>
      </c>
      <c r="O28" s="282"/>
    </row>
    <row r="29" spans="2:15">
      <c r="B29" s="403"/>
      <c r="C29" s="313">
        <v>27</v>
      </c>
      <c r="D29" s="330" t="str">
        <f t="shared" si="1"/>
        <v/>
      </c>
      <c r="E29" s="331" t="str">
        <f t="shared" si="2"/>
        <v/>
      </c>
      <c r="F29" s="327">
        <v>18</v>
      </c>
      <c r="G29" s="283"/>
      <c r="H29" s="397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18</v>
      </c>
      <c r="O29" s="282"/>
    </row>
    <row r="30" spans="2:15" ht="16.5" thickBot="1">
      <c r="B30" s="406"/>
      <c r="C30" s="314">
        <v>28</v>
      </c>
      <c r="D30" s="334" t="str">
        <f t="shared" si="1"/>
        <v/>
      </c>
      <c r="E30" s="335" t="str">
        <f t="shared" si="2"/>
        <v/>
      </c>
      <c r="F30" s="327">
        <v>21</v>
      </c>
      <c r="G30" s="283"/>
      <c r="H30" s="396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21</v>
      </c>
      <c r="O30" s="282"/>
    </row>
    <row r="31" spans="2:15">
      <c r="B31" s="402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22</v>
      </c>
      <c r="G31" s="283"/>
      <c r="H31" s="396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22</v>
      </c>
      <c r="O31" s="282"/>
    </row>
    <row r="32" spans="2:15">
      <c r="B32" s="403"/>
      <c r="C32" s="313">
        <v>30</v>
      </c>
      <c r="D32" s="330" t="str">
        <f t="shared" si="1"/>
        <v/>
      </c>
      <c r="E32" s="331" t="str">
        <f t="shared" si="2"/>
        <v/>
      </c>
      <c r="F32" s="327">
        <v>29</v>
      </c>
      <c r="G32" s="283"/>
      <c r="H32" s="397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29</v>
      </c>
      <c r="O32" s="282"/>
    </row>
    <row r="33" spans="1:15">
      <c r="B33" s="403"/>
      <c r="C33" s="313">
        <v>31</v>
      </c>
      <c r="D33" s="330" t="str">
        <f t="shared" si="1"/>
        <v/>
      </c>
      <c r="E33" s="331" t="str">
        <f t="shared" si="2"/>
        <v/>
      </c>
      <c r="F33" s="327">
        <v>30</v>
      </c>
      <c r="G33" s="283"/>
      <c r="H33" s="397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30</v>
      </c>
      <c r="O33" s="282"/>
    </row>
    <row r="34" spans="1:15" ht="16.5" thickBot="1">
      <c r="B34" s="404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97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5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3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3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6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2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3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3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04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5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3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3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6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2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3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3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282"/>
    </row>
    <row r="50" spans="2:15" ht="16.5" thickBot="1">
      <c r="B50" s="404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5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3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3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6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2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3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3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04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5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3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3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6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2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3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3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04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2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3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3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4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2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3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3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4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2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3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3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4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2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3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3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4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2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3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3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4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2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3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3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4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2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3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3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4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2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3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3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4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Дамјан Стојчев (72)</v>
      </c>
      <c r="E4" s="35">
        <f>C4+4</f>
        <v>5</v>
      </c>
      <c r="F4" s="36" t="str">
        <f>IF(VLOOKUP(E4,PARTICIPANTS!$C$3:$D$98,2,FALSE)="","",(VLOOKUP(E4,PARTICIPANTS!$C$3:$D$98,2,FALSE)))</f>
        <v>Нико Доага (190)</v>
      </c>
      <c r="G4" s="35">
        <f>E4+4</f>
        <v>9</v>
      </c>
      <c r="H4" s="36" t="str">
        <f>IF(VLOOKUP(G4,PARTICIPANTS!$C$3:$D$98,2,FALSE)="","",(VLOOKUP(G4,PARTICIPANTS!$C$3:$D$98,2,FALSE)))</f>
        <v>Александар Јакимовски (178)</v>
      </c>
      <c r="I4" s="35">
        <f>G4+4</f>
        <v>13</v>
      </c>
      <c r="J4" s="36" t="str">
        <f>IF(VLOOKUP(I4,PARTICIPANTS!$C$3:$D$98,2,FALSE)="","",(VLOOKUP(I4,PARTICIPANTS!$C$3:$D$98,2,FALSE)))</f>
        <v>Лука Стојчев (73)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Кристијан Каламадевски (347)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Андреј Васевски (203)</v>
      </c>
      <c r="G5" s="35">
        <f t="shared" si="0"/>
        <v>10</v>
      </c>
      <c r="H5" s="36" t="str">
        <f>IF(VLOOKUP(G5,PARTICIPANTS!$C$3:$D$98,2,FALSE)="","",(VLOOKUP(G5,PARTICIPANTS!$C$3:$D$98,2,FALSE)))</f>
        <v>Томе Милев (131)</v>
      </c>
      <c r="I5" s="35">
        <f t="shared" si="0"/>
        <v>14</v>
      </c>
      <c r="J5" s="36" t="str">
        <f>IF(VLOOKUP(I5,PARTICIPANTS!$C$3:$D$98,2,FALSE)="","",(VLOOKUP(I5,PARTICIPANTS!$C$3:$D$98,2,FALSE)))</f>
        <v>Даниел Главевски Зхоу  (108)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Андреј Стојановски (47)</v>
      </c>
      <c r="E6" s="35">
        <f t="shared" si="0"/>
        <v>7</v>
      </c>
      <c r="F6" s="36" t="str">
        <f>IF(VLOOKUP(E6,PARTICIPANTS!$C$3:$D$98,2,FALSE)="","",(VLOOKUP(E6,PARTICIPANTS!$C$3:$D$98,2,FALSE)))</f>
        <v>Антонио Аврамски (144)</v>
      </c>
      <c r="G6" s="35">
        <f t="shared" si="0"/>
        <v>11</v>
      </c>
      <c r="H6" s="36" t="str">
        <f>IF(VLOOKUP(G6,PARTICIPANTS!$C$3:$D$98,2,FALSE)="","",(VLOOKUP(G6,PARTICIPANTS!$C$3:$D$98,2,FALSE)))</f>
        <v>Михаил Стојаноски (345)</v>
      </c>
      <c r="I6" s="35">
        <f t="shared" si="0"/>
        <v>15</v>
      </c>
      <c r="J6" s="36" t="str">
        <f>IF(VLOOKUP(I6,PARTICIPANTS!$C$3:$D$98,2,FALSE)="","",(VLOOKUP(I6,PARTICIPANTS!$C$3:$D$98,2,FALSE)))</f>
        <v>Лука Серафимовски  (161)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Кристијан Митев (420)</v>
      </c>
      <c r="G7" s="35">
        <f t="shared" si="0"/>
        <v>12</v>
      </c>
      <c r="H7" s="36" t="str">
        <f>IF(VLOOKUP(G7,PARTICIPANTS!$C$3:$D$98,2,FALSE)="","",(VLOOKUP(G7,PARTICIPANTS!$C$3:$D$98,2,FALSE)))</f>
        <v>Антонио Вељановски (261)</v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Teодор Волкановски (188)</v>
      </c>
      <c r="E9" s="35">
        <f>C9+4</f>
        <v>21</v>
      </c>
      <c r="F9" s="36" t="str">
        <f>IF(VLOOKUP(E9,PARTICIPANTS!$C$3:$D$98,2,FALSE)="","",(VLOOKUP(E9,PARTICIPANTS!$C$3:$D$98,2,FALSE)))</f>
        <v>Антонио Крстевски (177)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Борис Секулов (130)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Иван Богатинов (76)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Филип Ангела (299)</v>
      </c>
      <c r="E11" s="35">
        <f t="shared" si="1"/>
        <v>23</v>
      </c>
      <c r="F11" s="36" t="str">
        <f>IF(VLOOKUP(E11,PARTICIPANTS!$C$3:$D$98,2,FALSE)="","",(VLOOKUP(E11,PARTICIPANTS!$C$3:$D$98,2,FALSE)))</f>
        <v>Андреј Бејковски (440)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Леонид Гошев (158)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A2" sqref="A2:C5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448</v>
      </c>
      <c r="C2" s="374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5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6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7" t="s">
        <v>199</v>
      </c>
      <c r="D70" t="s">
        <v>608</v>
      </c>
    </row>
    <row r="71" spans="1:4">
      <c r="A71" s="261">
        <v>70</v>
      </c>
      <c r="B71" s="272" t="s">
        <v>200</v>
      </c>
      <c r="C71" s="377" t="s">
        <v>199</v>
      </c>
      <c r="D71" t="s">
        <v>608</v>
      </c>
    </row>
    <row r="72" spans="1:4">
      <c r="A72" s="261">
        <v>71</v>
      </c>
      <c r="B72" s="272" t="s">
        <v>201</v>
      </c>
      <c r="C72" s="377" t="s">
        <v>199</v>
      </c>
      <c r="D72" t="s">
        <v>608</v>
      </c>
    </row>
    <row r="73" spans="1:4">
      <c r="A73" s="261">
        <v>72</v>
      </c>
      <c r="B73" s="272" t="s">
        <v>202</v>
      </c>
      <c r="C73" s="377" t="s">
        <v>199</v>
      </c>
      <c r="D73" t="s">
        <v>609</v>
      </c>
    </row>
    <row r="74" spans="1:4">
      <c r="A74" s="261">
        <v>73</v>
      </c>
      <c r="B74" s="272" t="s">
        <v>203</v>
      </c>
      <c r="C74" s="377" t="s">
        <v>199</v>
      </c>
      <c r="D74" t="s">
        <v>610</v>
      </c>
    </row>
    <row r="75" spans="1:4">
      <c r="A75" s="261">
        <v>74</v>
      </c>
      <c r="B75" s="272" t="s">
        <v>204</v>
      </c>
      <c r="C75" s="377" t="s">
        <v>199</v>
      </c>
      <c r="D75" t="s">
        <v>608</v>
      </c>
    </row>
    <row r="76" spans="1:4">
      <c r="A76" s="261">
        <v>75</v>
      </c>
      <c r="B76" s="272" t="s">
        <v>205</v>
      </c>
      <c r="C76" s="377" t="s">
        <v>199</v>
      </c>
      <c r="D76" t="s">
        <v>609</v>
      </c>
    </row>
    <row r="77" spans="1:4">
      <c r="A77" s="261">
        <v>76</v>
      </c>
      <c r="B77" s="262" t="s">
        <v>206</v>
      </c>
      <c r="C77" s="377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8" t="s">
        <v>276</v>
      </c>
      <c r="C140" s="101" t="s">
        <v>277</v>
      </c>
      <c r="D140" t="s">
        <v>608</v>
      </c>
    </row>
    <row r="141" spans="1:4">
      <c r="A141" s="261">
        <v>140</v>
      </c>
      <c r="B141" s="379" t="s">
        <v>278</v>
      </c>
      <c r="C141" s="101" t="s">
        <v>277</v>
      </c>
      <c r="D141" t="s">
        <v>610</v>
      </c>
    </row>
    <row r="142" spans="1:4">
      <c r="A142" s="261">
        <v>141</v>
      </c>
      <c r="B142" s="379" t="s">
        <v>279</v>
      </c>
      <c r="C142" s="101" t="s">
        <v>277</v>
      </c>
      <c r="D142" t="s">
        <v>608</v>
      </c>
    </row>
    <row r="143" spans="1:4">
      <c r="A143" s="261">
        <v>142</v>
      </c>
      <c r="B143" s="379" t="s">
        <v>280</v>
      </c>
      <c r="C143" s="101" t="s">
        <v>277</v>
      </c>
      <c r="D143" t="s">
        <v>608</v>
      </c>
    </row>
    <row r="144" spans="1:4">
      <c r="A144" s="261">
        <v>143</v>
      </c>
      <c r="B144" s="379" t="s">
        <v>281</v>
      </c>
      <c r="C144" s="101" t="s">
        <v>277</v>
      </c>
      <c r="D144" t="s">
        <v>608</v>
      </c>
    </row>
    <row r="145" spans="1:4">
      <c r="A145" s="261">
        <v>144</v>
      </c>
      <c r="B145" s="379" t="s">
        <v>282</v>
      </c>
      <c r="C145" s="101" t="s">
        <v>277</v>
      </c>
      <c r="D145" t="s">
        <v>610</v>
      </c>
    </row>
    <row r="146" spans="1:4">
      <c r="A146" s="261">
        <v>145</v>
      </c>
      <c r="B146" s="379" t="s">
        <v>283</v>
      </c>
      <c r="C146" s="101" t="s">
        <v>277</v>
      </c>
      <c r="D146" t="s">
        <v>610</v>
      </c>
    </row>
    <row r="147" spans="1:4">
      <c r="A147" s="261">
        <v>146</v>
      </c>
      <c r="B147" s="379" t="s">
        <v>284</v>
      </c>
      <c r="C147" s="101" t="s">
        <v>277</v>
      </c>
      <c r="D147" t="s">
        <v>610</v>
      </c>
    </row>
    <row r="148" spans="1:4">
      <c r="A148" s="261">
        <v>147</v>
      </c>
      <c r="B148" s="379" t="s">
        <v>285</v>
      </c>
      <c r="C148" s="101" t="s">
        <v>277</v>
      </c>
      <c r="D148" t="s">
        <v>611</v>
      </c>
    </row>
    <row r="149" spans="1:4">
      <c r="A149" s="261">
        <v>148</v>
      </c>
      <c r="B149" s="379" t="s">
        <v>286</v>
      </c>
      <c r="C149" s="101" t="s">
        <v>277</v>
      </c>
      <c r="D149" t="s">
        <v>611</v>
      </c>
    </row>
    <row r="150" spans="1:4">
      <c r="A150" s="265">
        <v>149</v>
      </c>
      <c r="B150" s="380" t="s">
        <v>287</v>
      </c>
      <c r="C150" s="183" t="s">
        <v>277</v>
      </c>
      <c r="D150" t="s">
        <v>611</v>
      </c>
    </row>
    <row r="151" spans="1:4">
      <c r="A151" s="261">
        <v>150</v>
      </c>
      <c r="B151" s="379" t="s">
        <v>288</v>
      </c>
      <c r="C151" s="101" t="s">
        <v>277</v>
      </c>
      <c r="D151" t="s">
        <v>609</v>
      </c>
    </row>
    <row r="152" spans="1:4">
      <c r="A152" s="261">
        <v>151</v>
      </c>
      <c r="B152" s="381" t="s">
        <v>289</v>
      </c>
      <c r="C152" s="101" t="s">
        <v>277</v>
      </c>
      <c r="D152" t="s">
        <v>608</v>
      </c>
    </row>
    <row r="153" spans="1:4">
      <c r="A153" s="261">
        <v>152</v>
      </c>
      <c r="B153" s="379" t="s">
        <v>290</v>
      </c>
      <c r="C153" s="101" t="s">
        <v>277</v>
      </c>
      <c r="D153" t="s">
        <v>611</v>
      </c>
    </row>
    <row r="154" spans="1:4">
      <c r="A154" s="261">
        <v>153</v>
      </c>
      <c r="B154" s="379" t="s">
        <v>291</v>
      </c>
      <c r="C154" s="101" t="s">
        <v>277</v>
      </c>
      <c r="D154" t="s">
        <v>609</v>
      </c>
    </row>
    <row r="155" spans="1:4">
      <c r="A155" s="261">
        <v>154</v>
      </c>
      <c r="B155" s="381" t="s">
        <v>292</v>
      </c>
      <c r="C155" s="101" t="s">
        <v>277</v>
      </c>
      <c r="D155" t="s">
        <v>608</v>
      </c>
    </row>
    <row r="156" spans="1:4">
      <c r="A156" s="261">
        <v>155</v>
      </c>
      <c r="B156" s="381" t="s">
        <v>293</v>
      </c>
      <c r="C156" s="101" t="s">
        <v>277</v>
      </c>
      <c r="D156" t="s">
        <v>609</v>
      </c>
    </row>
    <row r="157" spans="1:4">
      <c r="A157" s="261">
        <v>156</v>
      </c>
      <c r="B157" s="381" t="s">
        <v>294</v>
      </c>
      <c r="C157" s="101" t="s">
        <v>277</v>
      </c>
      <c r="D157" t="s">
        <v>609</v>
      </c>
    </row>
    <row r="158" spans="1:4">
      <c r="A158" s="261">
        <v>157</v>
      </c>
      <c r="B158" s="379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2" t="s">
        <v>300</v>
      </c>
      <c r="C162" s="375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3" t="s">
        <v>303</v>
      </c>
      <c r="C165" s="101" t="s">
        <v>199</v>
      </c>
      <c r="D165" t="s">
        <v>608</v>
      </c>
    </row>
    <row r="166" spans="1:4">
      <c r="A166" s="261">
        <v>165</v>
      </c>
      <c r="B166" s="384" t="s">
        <v>304</v>
      </c>
      <c r="C166" s="101" t="s">
        <v>649</v>
      </c>
      <c r="D166" t="s">
        <v>608</v>
      </c>
    </row>
    <row r="167" spans="1:4">
      <c r="A167" s="261">
        <v>166</v>
      </c>
      <c r="B167" s="384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5" t="s">
        <v>306</v>
      </c>
      <c r="C168" s="108" t="s">
        <v>649</v>
      </c>
      <c r="D168" t="s">
        <v>612</v>
      </c>
    </row>
    <row r="169" spans="1:4">
      <c r="A169" s="260">
        <v>168</v>
      </c>
      <c r="B169" s="386" t="s">
        <v>307</v>
      </c>
      <c r="C169" s="375" t="s">
        <v>649</v>
      </c>
      <c r="D169" t="s">
        <v>612</v>
      </c>
    </row>
    <row r="170" spans="1:4">
      <c r="A170" s="261">
        <v>169</v>
      </c>
      <c r="B170" s="384" t="s">
        <v>308</v>
      </c>
      <c r="C170" s="101" t="s">
        <v>649</v>
      </c>
      <c r="D170" t="s">
        <v>611</v>
      </c>
    </row>
    <row r="171" spans="1:4">
      <c r="A171" s="261">
        <v>170</v>
      </c>
      <c r="B171" s="384" t="s">
        <v>309</v>
      </c>
      <c r="C171" s="101" t="s">
        <v>649</v>
      </c>
      <c r="D171" t="s">
        <v>609</v>
      </c>
    </row>
    <row r="172" spans="1:4">
      <c r="A172" s="261">
        <v>171</v>
      </c>
      <c r="B172" s="384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5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5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7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8" t="s">
        <v>341</v>
      </c>
      <c r="C202" s="375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9" t="s">
        <v>359</v>
      </c>
      <c r="C222" s="390" t="s">
        <v>360</v>
      </c>
      <c r="D222" t="s">
        <v>608</v>
      </c>
    </row>
    <row r="223" spans="1:4">
      <c r="A223" s="261">
        <v>222</v>
      </c>
      <c r="B223" s="389" t="s">
        <v>361</v>
      </c>
      <c r="C223" s="390" t="s">
        <v>360</v>
      </c>
      <c r="D223" t="s">
        <v>608</v>
      </c>
    </row>
    <row r="224" spans="1:4">
      <c r="A224" s="261">
        <v>223</v>
      </c>
      <c r="B224" s="389" t="s">
        <v>362</v>
      </c>
      <c r="C224" s="390" t="s">
        <v>360</v>
      </c>
      <c r="D224" t="s">
        <v>608</v>
      </c>
    </row>
    <row r="225" spans="1:4">
      <c r="A225" s="261">
        <v>224</v>
      </c>
      <c r="B225" s="389" t="s">
        <v>363</v>
      </c>
      <c r="C225" s="390" t="s">
        <v>360</v>
      </c>
      <c r="D225" t="s">
        <v>608</v>
      </c>
    </row>
    <row r="226" spans="1:4">
      <c r="A226" s="261">
        <v>225</v>
      </c>
      <c r="B226" s="389" t="s">
        <v>364</v>
      </c>
      <c r="C226" s="390" t="s">
        <v>360</v>
      </c>
      <c r="D226" t="s">
        <v>608</v>
      </c>
    </row>
    <row r="227" spans="1:4">
      <c r="A227" s="261">
        <v>226</v>
      </c>
      <c r="B227" s="353" t="s">
        <v>365</v>
      </c>
      <c r="C227" s="390" t="s">
        <v>366</v>
      </c>
      <c r="D227" t="s">
        <v>608</v>
      </c>
    </row>
    <row r="228" spans="1:4">
      <c r="A228" s="261">
        <v>227</v>
      </c>
      <c r="B228" s="353" t="s">
        <v>367</v>
      </c>
      <c r="C228" s="390" t="s">
        <v>366</v>
      </c>
      <c r="D228" t="s">
        <v>608</v>
      </c>
    </row>
    <row r="229" spans="1:4">
      <c r="A229" s="261">
        <v>228</v>
      </c>
      <c r="B229" s="353" t="s">
        <v>368</v>
      </c>
      <c r="C229" s="390" t="s">
        <v>366</v>
      </c>
      <c r="D229" t="s">
        <v>608</v>
      </c>
    </row>
    <row r="230" spans="1:4">
      <c r="A230" s="261">
        <v>229</v>
      </c>
      <c r="B230" s="353" t="s">
        <v>369</v>
      </c>
      <c r="C230" s="390" t="s">
        <v>366</v>
      </c>
      <c r="D230" t="s">
        <v>609</v>
      </c>
    </row>
    <row r="231" spans="1:4">
      <c r="A231" s="261">
        <v>230</v>
      </c>
      <c r="B231" s="353" t="s">
        <v>370</v>
      </c>
      <c r="C231" s="390" t="s">
        <v>267</v>
      </c>
      <c r="D231" t="s">
        <v>611</v>
      </c>
    </row>
    <row r="232" spans="1:4">
      <c r="A232" s="261">
        <v>231</v>
      </c>
      <c r="B232" s="353" t="s">
        <v>371</v>
      </c>
      <c r="C232" s="390" t="s">
        <v>366</v>
      </c>
      <c r="D232" t="s">
        <v>610</v>
      </c>
    </row>
    <row r="233" spans="1:4">
      <c r="A233" s="261">
        <v>232</v>
      </c>
      <c r="B233" s="353" t="s">
        <v>372</v>
      </c>
      <c r="C233" s="390" t="s">
        <v>366</v>
      </c>
      <c r="D233" t="s">
        <v>610</v>
      </c>
    </row>
    <row r="234" spans="1:4">
      <c r="A234" s="261">
        <v>233</v>
      </c>
      <c r="B234" s="353" t="s">
        <v>373</v>
      </c>
      <c r="C234" s="390" t="s">
        <v>366</v>
      </c>
      <c r="D234" t="s">
        <v>610</v>
      </c>
    </row>
    <row r="235" spans="1:4">
      <c r="A235" s="261">
        <v>234</v>
      </c>
      <c r="B235" s="353" t="s">
        <v>374</v>
      </c>
      <c r="C235" s="390" t="s">
        <v>366</v>
      </c>
      <c r="D235" t="s">
        <v>610</v>
      </c>
    </row>
    <row r="236" spans="1:4">
      <c r="A236" s="261">
        <v>235</v>
      </c>
      <c r="B236" s="353" t="s">
        <v>375</v>
      </c>
      <c r="C236" s="390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1">
        <v>239</v>
      </c>
      <c r="B240" s="271" t="s">
        <v>379</v>
      </c>
      <c r="C240" s="392" t="s">
        <v>131</v>
      </c>
      <c r="D240" t="s">
        <v>608</v>
      </c>
    </row>
    <row r="241" spans="1:4">
      <c r="A241" s="275">
        <v>240</v>
      </c>
      <c r="B241" s="269" t="s">
        <v>380</v>
      </c>
      <c r="C241" s="375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5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5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5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5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3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1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30">
      <c r="A471" s="261">
        <v>470</v>
      </c>
      <c r="B471" s="394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IF(GROUPS!D4="","",GROUPS!D4)</f>
        <v>Дамјан Стојчев (72)</v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IF(GROUPS!D5="","",GROUPS!D5)</f>
        <v>Кристијан Каламадевски (347)</v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IF(GROUPS!D6="","",GROUPS!D6)</f>
        <v>Андреј Стојановски (47)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IF(GROUPS!D7="","",GROUPS!D7)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 ht="19.5" thickBot="1">
      <c r="B9" s="217">
        <v>1</v>
      </c>
      <c r="C9" s="218" t="str">
        <f>IF(C3="","",VLOOKUP(B9,$B$3:$E$6,2,FALSE))</f>
        <v>Дамјан Стојчев (72)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Кристијан Каламадевски (347)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Кристијан Каламадевски (347)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Андреј Стојановски (47)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 hidden="1">
      <c r="B17" s="154">
        <v>1</v>
      </c>
      <c r="C17" s="155" t="str">
        <f>IF(C5="","",VLOOKUP(B17,$B$3:$E$6,2,FALSE))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Андреј Стојановски (47)</v>
      </c>
      <c r="D18" s="166">
        <v>2</v>
      </c>
      <c r="E18" s="167" t="str">
        <f>IF(C5="","",VLOOKUP(D18,$B$3:$E$6,2,FALSE))</f>
        <v>Кристијан Каламадевски (347)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57" t="str">
        <f>IF(ISERROR(INDEX($C$3:$C$6,MATCH(W2,$T$3:$T$6,0))),"",(INDEX($C$3:$C$6,MATCH(W2,$T$3:$T$6,0))))</f>
        <v>Дамјан Стојчев (72)</v>
      </c>
      <c r="Y2" s="458"/>
      <c r="Z2" s="459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IF(GROUPS!D4="","",GROUPS!D4)</f>
        <v>Дамјан Стојчев (72)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79</v>
      </c>
      <c r="Q3" s="137">
        <f>IF(AND(T9="",T13="",T17=""),"",AP3)</f>
        <v>48</v>
      </c>
      <c r="R3" s="431">
        <f>IF(ISERROR(IF(AND(T9="",T13="",T17=""),"",SUM(AB3:AD3)+(N3-O3)/1000)+(AK3/10000)),"",IF(AND(T9="",T13="",T17=""),"",SUM(AB3:AD3)+(N3-O3)/1000)+(AK3/10000)+(AG3/100000))</f>
        <v>4.0088900000000001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57" t="str">
        <f t="shared" ref="X3:X5" si="0">IF(ISERROR(INDEX($C$3:$C$6,MATCH(W3,$T$3:$T$6,0))),"",(INDEX($C$3:$C$6,MATCH(W3,$T$3:$T$6,0))))</f>
        <v>Андреј Стојановски (47)</v>
      </c>
      <c r="Y3" s="458"/>
      <c r="Z3" s="45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79</v>
      </c>
      <c r="AH3" s="10">
        <f>F9+H9+J9+L9+N9+P9+R9</f>
        <v>46</v>
      </c>
      <c r="AI3" s="10">
        <f>F13+H13+J13+L13+N13+P13+R13</f>
        <v>33</v>
      </c>
      <c r="AJ3" s="10">
        <f>F17+H17+J17+L17+N17+P17+R17</f>
        <v>0</v>
      </c>
      <c r="AK3" s="426">
        <f>SUM(AH3:AJ3)-SUM(AM3:AO3)</f>
        <v>31</v>
      </c>
      <c r="AL3" s="427"/>
      <c r="AM3" s="10">
        <f>AH5</f>
        <v>33</v>
      </c>
      <c r="AN3" s="10">
        <f>AI4</f>
        <v>15</v>
      </c>
      <c r="AO3" s="10">
        <f>AJ6</f>
        <v>0</v>
      </c>
      <c r="AP3" s="9">
        <f>SUM(AM3:AO3)</f>
        <v>48</v>
      </c>
    </row>
    <row r="4" spans="2:47" ht="24" customHeight="1">
      <c r="B4" s="127">
        <v>2</v>
      </c>
      <c r="C4" s="428" t="str">
        <f>IF(GROUPS!D5="","",GROUPS!D5)</f>
        <v>Кристијан Каламадевски (347)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36</v>
      </c>
      <c r="Q4" s="137">
        <f>IF(AND(T10="",U13="",U18=""),"",AP4)</f>
        <v>66</v>
      </c>
      <c r="R4" s="431">
        <f>IF(ISERROR(IF(AND(T10="",U13="",U18=""),"",SUM(AB4:AD4)+(N4-O4)/1000)+(AK4/10000)+(AG4/100000)),"",IF(AND(T10="",U13="",U18=""),"",SUM(AB4:AD4)+(N4-O4)/1000)+(AK4/10000)+(AG4/100000))</f>
        <v>1.99136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54" t="str">
        <f t="shared" si="0"/>
        <v>Кристијан Каламадевски (347)</v>
      </c>
      <c r="Y4" s="455"/>
      <c r="Z4" s="45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36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21</v>
      </c>
      <c r="AK4" s="426">
        <f t="shared" ref="AK4:AK6" si="2">SUM(AH4:AJ4)-SUM(AM4:AO4)</f>
        <v>-30</v>
      </c>
      <c r="AL4" s="427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28" t="str">
        <f>IF(GROUPS!D6="","",GROUPS!D6)</f>
        <v>Андреј Стојановски (47)</v>
      </c>
      <c r="D5" s="429"/>
      <c r="E5" s="430"/>
      <c r="F5" s="139">
        <f>U9</f>
        <v>1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4</v>
      </c>
      <c r="O5" s="135">
        <f>IF(AND(U9="",T14="",T18=""),"",SUM(G5,I5,M5))</f>
        <v>3</v>
      </c>
      <c r="P5" s="136">
        <f>IF(AND(U9="",T14="",T18=""),"",AG5)</f>
        <v>66</v>
      </c>
      <c r="Q5" s="137">
        <f>IF(AND(U9="",T14="",T18=""),"",AP5)</f>
        <v>67</v>
      </c>
      <c r="R5" s="431">
        <f>IF(ISERROR(IF(AND(U9="",T14="",T18=""),"",SUM(AB5:AD5)+(N5-O5)/1000)+(AK5/10000)+(AG5/100000)),"",IF(AND(U9="",T14="",T18=""),"",SUM(AB5:AD5)+(N5-O5)/1000)+(AK5/10000)+(AG5/100000))</f>
        <v>3.0015599999999996</v>
      </c>
      <c r="S5" s="431"/>
      <c r="T5" s="138">
        <f>IF(ISERROR(IF(C5="","",RANK(R5,$R$3:$S$6,0))),"",IF(C5="","",RANK(R5,$R$3:$S$6,0)))</f>
        <v>2</v>
      </c>
      <c r="U5" s="9"/>
      <c r="V5" s="9"/>
      <c r="W5" s="7">
        <v>4</v>
      </c>
      <c r="X5" s="454" t="str">
        <f t="shared" si="0"/>
        <v/>
      </c>
      <c r="Y5" s="455"/>
      <c r="Z5" s="45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66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33</v>
      </c>
      <c r="AK5" s="426">
        <f t="shared" si="2"/>
        <v>-1</v>
      </c>
      <c r="AL5" s="427"/>
      <c r="AM5" s="10">
        <f>AH3</f>
        <v>46</v>
      </c>
      <c r="AN5" s="10">
        <f>AI6</f>
        <v>0</v>
      </c>
      <c r="AO5" s="10">
        <f>AJ4</f>
        <v>21</v>
      </c>
      <c r="AP5" s="9">
        <f t="shared" si="3"/>
        <v>67</v>
      </c>
    </row>
    <row r="6" spans="2:47" ht="24" customHeight="1" thickBot="1">
      <c r="B6" s="142">
        <v>4</v>
      </c>
      <c r="C6" s="422" t="str">
        <f>IF(GROUPS!D7="","",GROUPS!D7)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181</v>
      </c>
      <c r="Q7" s="153">
        <f>SUM(Q3:Q6)</f>
        <v>181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Андреј Стојановски (47)</v>
      </c>
      <c r="F9" s="158">
        <v>14</v>
      </c>
      <c r="G9" s="159">
        <v>12</v>
      </c>
      <c r="H9" s="160">
        <v>10</v>
      </c>
      <c r="I9" s="159">
        <v>12</v>
      </c>
      <c r="J9" s="158">
        <v>11</v>
      </c>
      <c r="K9" s="161">
        <v>4</v>
      </c>
      <c r="L9" s="160">
        <v>11</v>
      </c>
      <c r="M9" s="159">
        <v>5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7</v>
      </c>
      <c r="H13" s="160">
        <v>11</v>
      </c>
      <c r="I13" s="159">
        <v>4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Стојановски (47)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Стојановски (47)</v>
      </c>
      <c r="D18" s="166">
        <v>2</v>
      </c>
      <c r="E18" s="167" t="str">
        <f>IF(C4="","",VLOOKUP(D18,$B$3:$E$6,2,FALSE))</f>
        <v>Кристијан Каламадевски (347)</v>
      </c>
      <c r="F18" s="168">
        <v>11</v>
      </c>
      <c r="G18" s="169">
        <v>9</v>
      </c>
      <c r="H18" s="170">
        <v>11</v>
      </c>
      <c r="I18" s="169">
        <v>9</v>
      </c>
      <c r="J18" s="168">
        <v>11</v>
      </c>
      <c r="K18" s="171">
        <v>3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4" workbookViewId="0">
      <selection activeCell="M18" sqref="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Нико Доага (190)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IF(GROUPS!F4="","",GROUPS!F4)</f>
        <v>Нико Доага (190)</v>
      </c>
      <c r="D3" s="429"/>
      <c r="E3" s="430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113</v>
      </c>
      <c r="Q3" s="137">
        <f>IF(AND(T9="",T13="",T17=""),"",AP3)</f>
        <v>78</v>
      </c>
      <c r="R3" s="431">
        <f>IF(ISERROR(IF(AND(T9="",T13="",T17=""),"",SUM(AB3:AD3)+(N3-O3)/1000)+(AK3/10000)),"",IF(AND(T9="",T13="",T17=""),"",SUM(AB3:AD3)+(N3-O3)/1000)+(AK3/10000)+(AG3/100000))</f>
        <v>6.0126299999999997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Антонио Аврамски (144)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34</v>
      </c>
      <c r="AI3" s="10">
        <f>F13+H13+J13+L13+N13+P13+R13</f>
        <v>46</v>
      </c>
      <c r="AJ3" s="10">
        <f>F17+H17+J17+L17+N17+P17+R17</f>
        <v>33</v>
      </c>
      <c r="AK3" s="426">
        <f>SUM(AH3:AJ3)-SUM(AM3:AO3)</f>
        <v>35</v>
      </c>
      <c r="AL3" s="427"/>
      <c r="AM3" s="10">
        <f>AH5</f>
        <v>21</v>
      </c>
      <c r="AN3" s="10">
        <f>AI4</f>
        <v>38</v>
      </c>
      <c r="AO3" s="10">
        <f>AJ6</f>
        <v>19</v>
      </c>
      <c r="AP3" s="9">
        <f>SUM(AM3:AO3)</f>
        <v>78</v>
      </c>
    </row>
    <row r="4" spans="2:47" ht="24" customHeight="1">
      <c r="B4" s="127">
        <v>2</v>
      </c>
      <c r="C4" s="428" t="str">
        <f>IF(GROUPS!F5="","",GROUPS!F5)</f>
        <v>Андреј Васевски (203)</v>
      </c>
      <c r="D4" s="429"/>
      <c r="E4" s="430"/>
      <c r="F4" s="139">
        <f>U13</f>
        <v>1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4</v>
      </c>
      <c r="O4" s="135">
        <f>IF(AND(T10="",U13="",U18=""),"",SUM(G4,K4,M4))</f>
        <v>6</v>
      </c>
      <c r="P4" s="136">
        <f>IF(AND(T10="",U13="",U18=""),"",AG4)</f>
        <v>88</v>
      </c>
      <c r="Q4" s="137">
        <f>IF(AND(T10="",U13="",U18=""),"",AP4)</f>
        <v>86</v>
      </c>
      <c r="R4" s="431">
        <f>IF(ISERROR(IF(AND(T10="",U13="",U18=""),"",SUM(AB4:AD4)+(N4-O4)/1000)+(AK4/10000)+(AG4/100000)),"",IF(AND(T10="",U13="",U18=""),"",SUM(AB4:AD4)+(N4-O4)/1000)+(AK4/10000)+(AG4/100000))</f>
        <v>3.9990800000000002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32" t="str">
        <f t="shared" si="0"/>
        <v>Андреј Васевски (203)</v>
      </c>
      <c r="Y4" s="433"/>
      <c r="Z4" s="434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88</v>
      </c>
      <c r="AH4" s="10">
        <f>F10+H10+J10+L10+N10+P10+R10</f>
        <v>33</v>
      </c>
      <c r="AI4" s="10">
        <f>G13+I13+K13+M13+O13+Q13+S13</f>
        <v>38</v>
      </c>
      <c r="AJ4" s="10">
        <f>G18+I18+K18+M18+O18+Q18+S18</f>
        <v>17</v>
      </c>
      <c r="AK4" s="426">
        <f t="shared" ref="AK4:AK6" si="2">SUM(AH4:AJ4)-SUM(AM4:AO4)</f>
        <v>2</v>
      </c>
      <c r="AL4" s="427"/>
      <c r="AM4" s="10">
        <f>AH6</f>
        <v>7</v>
      </c>
      <c r="AN4" s="10">
        <f>AI3</f>
        <v>46</v>
      </c>
      <c r="AO4" s="10">
        <f>AJ5</f>
        <v>33</v>
      </c>
      <c r="AP4" s="9">
        <f t="shared" ref="AP4:AP6" si="3">SUM(AM4:AO4)</f>
        <v>86</v>
      </c>
    </row>
    <row r="5" spans="2:47" ht="24" customHeight="1">
      <c r="B5" s="127">
        <v>3</v>
      </c>
      <c r="C5" s="428" t="str">
        <f>IF(GROUPS!F6="","",GROUPS!F6)</f>
        <v>Антонио Аврамски (144)</v>
      </c>
      <c r="D5" s="429"/>
      <c r="E5" s="430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87</v>
      </c>
      <c r="Q5" s="137">
        <f>IF(AND(U9="",T14="",T18=""),"",AP5)</f>
        <v>63</v>
      </c>
      <c r="R5" s="431">
        <f>IF(ISERROR(IF(AND(U9="",T14="",T18=""),"",SUM(AB5:AD5)+(N5-O5)/1000)+(AK5/10000)+(AG5/100000)),"",IF(AND(U9="",T14="",T18=""),"",SUM(AB5:AD5)+(N5-O5)/1000)+(AK5/10000)+(AG5/100000))</f>
        <v>5.0062699999999998</v>
      </c>
      <c r="S5" s="431"/>
      <c r="T5" s="138">
        <f>IF(ISERROR(IF(C5="","",RANK(R5,$R$3:$S$6,0))),"",IF(C5="","",RANK(R5,$R$3:$S$6,0)))</f>
        <v>2</v>
      </c>
      <c r="U5" s="9"/>
      <c r="V5" s="9"/>
      <c r="W5" s="7">
        <v>4</v>
      </c>
      <c r="X5" s="432" t="str">
        <f t="shared" si="0"/>
        <v>Кристијан Митев (420)</v>
      </c>
      <c r="Y5" s="433"/>
      <c r="Z5" s="43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87</v>
      </c>
      <c r="AH5" s="10">
        <f>G9+I9+K9+M9+O9+Q9+S9</f>
        <v>21</v>
      </c>
      <c r="AI5" s="10">
        <f>F14+H14+J14+L14+N14+P14+R14</f>
        <v>33</v>
      </c>
      <c r="AJ5" s="10">
        <f>F18+H18+J18+L18+N18+P18+R18</f>
        <v>33</v>
      </c>
      <c r="AK5" s="426">
        <f t="shared" si="2"/>
        <v>24</v>
      </c>
      <c r="AL5" s="427"/>
      <c r="AM5" s="10">
        <f>AH3</f>
        <v>34</v>
      </c>
      <c r="AN5" s="10">
        <f>AI6</f>
        <v>12</v>
      </c>
      <c r="AO5" s="10">
        <f>AJ4</f>
        <v>17</v>
      </c>
      <c r="AP5" s="9">
        <f t="shared" si="3"/>
        <v>63</v>
      </c>
    </row>
    <row r="6" spans="2:47" ht="24" customHeight="1" thickBot="1">
      <c r="B6" s="142">
        <v>4</v>
      </c>
      <c r="C6" s="422" t="str">
        <f>IF(GROUPS!F7="","",GROUPS!F7)</f>
        <v>Кристијан Митев (420)</v>
      </c>
      <c r="D6" s="423"/>
      <c r="E6" s="424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38</v>
      </c>
      <c r="Q6" s="151">
        <f>IF(AND(U10="",U14="",U17=""),"",AP6)</f>
        <v>99</v>
      </c>
      <c r="R6" s="425">
        <f>IF(ISERROR(IF(AND(U10="",U14="",U17=""),"",SUM(AB6:AD6)+(N6-O6)/1000)+(AK6/10000)+(AG6/100000)),"",IF(AND(U10="",U14="",U17=""),"",SUM(AB6:AD6)+(N6-O6)/1000)+(AK6/10000)+(AG6/100000))</f>
        <v>2.9852799999999999</v>
      </c>
      <c r="S6" s="425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38</v>
      </c>
      <c r="AH6" s="10">
        <f>G10+I10+K10+M10+O10+Q10+S10</f>
        <v>7</v>
      </c>
      <c r="AI6" s="10">
        <f>G14+I14+K14+M14+O14+Q14+S14</f>
        <v>12</v>
      </c>
      <c r="AJ6" s="10">
        <f>G17+I17+K17+M17+O17+Q17+S17</f>
        <v>19</v>
      </c>
      <c r="AK6" s="426">
        <f t="shared" si="2"/>
        <v>-61</v>
      </c>
      <c r="AL6" s="42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326</v>
      </c>
      <c r="Q7" s="153">
        <f>SUM(Q3:Q6)</f>
        <v>326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Антонио Аврамски (144)</v>
      </c>
      <c r="F9" s="158">
        <v>11</v>
      </c>
      <c r="G9" s="159">
        <v>5</v>
      </c>
      <c r="H9" s="160">
        <v>11</v>
      </c>
      <c r="I9" s="159">
        <v>6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>Кристијан Митев (420)</v>
      </c>
      <c r="F10" s="168">
        <v>11</v>
      </c>
      <c r="G10" s="169">
        <v>2</v>
      </c>
      <c r="H10" s="170">
        <v>11</v>
      </c>
      <c r="I10" s="169">
        <v>2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Андреј Васевски (203)</v>
      </c>
      <c r="F13" s="158">
        <v>11</v>
      </c>
      <c r="G13" s="159">
        <v>9</v>
      </c>
      <c r="H13" s="160">
        <v>14</v>
      </c>
      <c r="I13" s="159">
        <v>12</v>
      </c>
      <c r="J13" s="158">
        <v>10</v>
      </c>
      <c r="K13" s="161">
        <v>12</v>
      </c>
      <c r="L13" s="160">
        <v>11</v>
      </c>
      <c r="M13" s="159">
        <v>5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Антонио Аврамски (144)</v>
      </c>
      <c r="D14" s="166">
        <v>4</v>
      </c>
      <c r="E14" s="167" t="str">
        <f>IF(C6="","",VLOOKUP(D14,$B$3:$E$6,2,FALSE))</f>
        <v>Кристијан Митев (420)</v>
      </c>
      <c r="F14" s="168">
        <v>11</v>
      </c>
      <c r="G14" s="169">
        <v>3</v>
      </c>
      <c r="H14" s="170">
        <v>11</v>
      </c>
      <c r="I14" s="169">
        <v>4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>Кристијан Митев (420)</v>
      </c>
      <c r="F17" s="158">
        <v>11</v>
      </c>
      <c r="G17" s="159">
        <v>7</v>
      </c>
      <c r="H17" s="160">
        <v>11</v>
      </c>
      <c r="I17" s="159">
        <v>4</v>
      </c>
      <c r="J17" s="158">
        <v>11</v>
      </c>
      <c r="K17" s="161">
        <v>8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Антонио Аврамски (144)</v>
      </c>
      <c r="D18" s="166">
        <v>2</v>
      </c>
      <c r="E18" s="167" t="str">
        <f>IF(C4="","",VLOOKUP(D18,$B$3:$E$6,2,FALSE))</f>
        <v>Андреј Васевски (203)</v>
      </c>
      <c r="F18" s="168">
        <v>11</v>
      </c>
      <c r="G18" s="169">
        <v>5</v>
      </c>
      <c r="H18" s="170">
        <v>11</v>
      </c>
      <c r="I18" s="169">
        <v>6</v>
      </c>
      <c r="J18" s="168">
        <v>11</v>
      </c>
      <c r="K18" s="171">
        <v>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Александар Јакимовски (178)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IF(GROUPS!H4="","",GROUPS!H4)</f>
        <v>Александар Јакимовски (178)</v>
      </c>
      <c r="D3" s="429"/>
      <c r="E3" s="430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128</v>
      </c>
      <c r="Q3" s="137">
        <f>IF(AND(T9="",T13="",T17=""),"",AP3)</f>
        <v>90</v>
      </c>
      <c r="R3" s="431">
        <f>IF(ISERROR(IF(AND(T9="",T13="",T17=""),"",SUM(AB3:AD3)+(N3-O3)/1000)+(AK3/10000)),"",IF(AND(T9="",T13="",T17=""),"",SUM(AB3:AD3)+(N3-O3)/1000)+(AK3/10000)+(AG3/100000))</f>
        <v>6.0110800000000006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Томе Милев (131)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128</v>
      </c>
      <c r="AH3" s="10">
        <f>F9+H9+J9+L9+N9+P9+R9</f>
        <v>33</v>
      </c>
      <c r="AI3" s="10">
        <f>F13+H13+J13+L13+N13+P13+R13</f>
        <v>52</v>
      </c>
      <c r="AJ3" s="10">
        <f>F17+H17+J17+L17+N17+P17+R17</f>
        <v>43</v>
      </c>
      <c r="AK3" s="426">
        <f>SUM(AH3:AJ3)-SUM(AM3:AO3)</f>
        <v>38</v>
      </c>
      <c r="AL3" s="427"/>
      <c r="AM3" s="10">
        <f>AH5</f>
        <v>17</v>
      </c>
      <c r="AN3" s="10">
        <f>AI4</f>
        <v>47</v>
      </c>
      <c r="AO3" s="10">
        <f>AJ6</f>
        <v>26</v>
      </c>
      <c r="AP3" s="9">
        <f>SUM(AM3:AO3)</f>
        <v>90</v>
      </c>
    </row>
    <row r="4" spans="2:47" ht="24" customHeight="1">
      <c r="B4" s="127">
        <v>2</v>
      </c>
      <c r="C4" s="428" t="str">
        <f>IF(GROUPS!H5="","",GROUPS!H5)</f>
        <v>Томе Милев (131)</v>
      </c>
      <c r="D4" s="429"/>
      <c r="E4" s="430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113</v>
      </c>
      <c r="Q4" s="137">
        <f>IF(AND(T10="",U13="",U18=""),"",AP4)</f>
        <v>84</v>
      </c>
      <c r="R4" s="431">
        <f>IF(ISERROR(IF(AND(T10="",U13="",U18=""),"",SUM(AB4:AD4)+(N4-O4)/1000)+(AK4/10000)+(AG4/100000)),"",IF(AND(T10="",U13="",U18=""),"",SUM(AB4:AD4)+(N4-O4)/1000)+(AK4/10000)+(AG4/100000))</f>
        <v>5.0090300000000001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Антонио Вељановски (261)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113</v>
      </c>
      <c r="AH4" s="10">
        <f>F10+H10+J10+L10+N10+P10+R10</f>
        <v>33</v>
      </c>
      <c r="AI4" s="10">
        <f>G13+I13+K13+M13+O13+Q13+S13</f>
        <v>47</v>
      </c>
      <c r="AJ4" s="10">
        <f>G18+I18+K18+M18+O18+Q18+S18</f>
        <v>33</v>
      </c>
      <c r="AK4" s="426">
        <f t="shared" ref="AK4:AK6" si="2">SUM(AH4:AJ4)-SUM(AM4:AO4)</f>
        <v>29</v>
      </c>
      <c r="AL4" s="427"/>
      <c r="AM4" s="10">
        <f>AH6</f>
        <v>16</v>
      </c>
      <c r="AN4" s="10">
        <f>AI3</f>
        <v>52</v>
      </c>
      <c r="AO4" s="10">
        <f>AJ5</f>
        <v>16</v>
      </c>
      <c r="AP4" s="9">
        <f t="shared" ref="AP4:AP6" si="3">SUM(AM4:AO4)</f>
        <v>84</v>
      </c>
    </row>
    <row r="5" spans="2:47" ht="24" customHeight="1">
      <c r="B5" s="127">
        <v>3</v>
      </c>
      <c r="C5" s="428" t="str">
        <f>IF(GROUPS!H6="","",GROUPS!H6)</f>
        <v>Михаил Стојаноски (345)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33</v>
      </c>
      <c r="Q5" s="137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1.9910299999999999</v>
      </c>
      <c r="S5" s="431"/>
      <c r="T5" s="138">
        <f>IF(ISERROR(IF(C5="","",RANK(R5,$R$3:$S$6,0))),"",IF(C5="","",RANK(R5,$R$3:$S$6,0)))</f>
        <v>4</v>
      </c>
      <c r="U5" s="9"/>
      <c r="V5" s="9"/>
      <c r="W5" s="7">
        <v>4</v>
      </c>
      <c r="X5" s="432" t="str">
        <f t="shared" si="0"/>
        <v>Михаил Стојаноски (345)</v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33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16</v>
      </c>
      <c r="AK5" s="426">
        <f t="shared" si="2"/>
        <v>-33</v>
      </c>
      <c r="AL5" s="42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2" t="str">
        <f>IF(GROUPS!H7="","",GROUPS!H7)</f>
        <v>Антонио Вељановски (261)</v>
      </c>
      <c r="D6" s="423"/>
      <c r="E6" s="424"/>
      <c r="F6" s="143">
        <f>U17</f>
        <v>1</v>
      </c>
      <c r="G6" s="144">
        <f>T17</f>
        <v>3</v>
      </c>
      <c r="H6" s="145">
        <f>U10</f>
        <v>0</v>
      </c>
      <c r="I6" s="144">
        <f>T10</f>
        <v>3</v>
      </c>
      <c r="J6" s="145" t="str">
        <f>U14</f>
        <v/>
      </c>
      <c r="K6" s="144" t="str">
        <f>T14</f>
        <v/>
      </c>
      <c r="L6" s="146"/>
      <c r="M6" s="147"/>
      <c r="N6" s="148">
        <f>IF(AND(U10="",U14="",U17=""),"",SUM(F6,H6,J6))</f>
        <v>1</v>
      </c>
      <c r="O6" s="149">
        <f>IF(AND(U10="",U14="",U17=""),"",SUM(G6,I6,K6))</f>
        <v>6</v>
      </c>
      <c r="P6" s="150">
        <f>IF(AND(U10="",U14="",U17=""),"",AG6)</f>
        <v>42</v>
      </c>
      <c r="Q6" s="151">
        <f>IF(AND(U10="",U14="",U17=""),"",AP6)</f>
        <v>76</v>
      </c>
      <c r="R6" s="425">
        <f>IF(ISERROR(IF(AND(U10="",U14="",U17=""),"",SUM(AB6:AD6)+(N6-O6)/1000)+(AK6/10000)+(AG6/100000)),"",IF(AND(U10="",U14="",U17=""),"",SUM(AB6:AD6)+(N6-O6)/1000)+(AK6/10000)+(AG6/100000))</f>
        <v>1.9920200000000001</v>
      </c>
      <c r="S6" s="425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 t="str">
        <f>IF(J6="","",IF(J6&gt;K6,2,1))</f>
        <v/>
      </c>
      <c r="AE6" s="216"/>
      <c r="AG6" s="11">
        <f t="shared" si="1"/>
        <v>42</v>
      </c>
      <c r="AH6" s="10">
        <f>G10+I10+K10+M10+O10+Q10+S10</f>
        <v>16</v>
      </c>
      <c r="AI6" s="10">
        <f>G14+I14+K14+M14+O14+Q14+S14</f>
        <v>0</v>
      </c>
      <c r="AJ6" s="10">
        <f>G17+I17+K17+M17+O17+Q17+S17</f>
        <v>26</v>
      </c>
      <c r="AK6" s="426">
        <f t="shared" si="2"/>
        <v>-34</v>
      </c>
      <c r="AL6" s="427"/>
      <c r="AM6" s="10">
        <f>AH4</f>
        <v>33</v>
      </c>
      <c r="AN6" s="10">
        <f>AI5</f>
        <v>0</v>
      </c>
      <c r="AO6" s="10">
        <f>AJ3</f>
        <v>43</v>
      </c>
      <c r="AP6" s="9">
        <f t="shared" si="3"/>
        <v>76</v>
      </c>
    </row>
    <row r="7" spans="2:47" ht="19.5" thickBot="1">
      <c r="P7" s="153">
        <f>SUM(P3:P6)</f>
        <v>316</v>
      </c>
      <c r="Q7" s="153">
        <f>SUM(Q3:Q6)</f>
        <v>316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Михаил Стојаноски (345)</v>
      </c>
      <c r="F9" s="158">
        <v>11</v>
      </c>
      <c r="G9" s="159">
        <v>6</v>
      </c>
      <c r="H9" s="160">
        <v>11</v>
      </c>
      <c r="I9" s="159">
        <v>2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Антонио Вељановски (261)</v>
      </c>
      <c r="F10" s="168">
        <v>11</v>
      </c>
      <c r="G10" s="169">
        <v>1</v>
      </c>
      <c r="H10" s="170">
        <v>11</v>
      </c>
      <c r="I10" s="169">
        <v>8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9</v>
      </c>
      <c r="H13" s="160">
        <v>11</v>
      </c>
      <c r="I13" s="159">
        <v>8</v>
      </c>
      <c r="J13" s="158">
        <v>9</v>
      </c>
      <c r="K13" s="161">
        <v>11</v>
      </c>
      <c r="L13" s="160">
        <v>10</v>
      </c>
      <c r="M13" s="159">
        <v>12</v>
      </c>
      <c r="N13" s="158">
        <v>11</v>
      </c>
      <c r="O13" s="161">
        <v>7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Михаил Стојаноски (345)</v>
      </c>
      <c r="D14" s="166">
        <v>4</v>
      </c>
      <c r="E14" s="167" t="str">
        <f>IF(C6="","",VLOOKUP(D14,$B$3:$E$6,2,FALSE))</f>
        <v>Антонио Вељановски (261)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>Антонио Вељановски (261)</v>
      </c>
      <c r="F17" s="158">
        <v>11</v>
      </c>
      <c r="G17" s="159">
        <v>6</v>
      </c>
      <c r="H17" s="160">
        <v>11</v>
      </c>
      <c r="I17" s="159">
        <v>3</v>
      </c>
      <c r="J17" s="158">
        <v>10</v>
      </c>
      <c r="K17" s="161">
        <v>12</v>
      </c>
      <c r="L17" s="160">
        <v>11</v>
      </c>
      <c r="M17" s="159">
        <v>5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Михаил Стојаноски (345)</v>
      </c>
      <c r="D18" s="166">
        <v>2</v>
      </c>
      <c r="E18" s="167" t="str">
        <f>IF(C4="","",VLOOKUP(D18,$B$3:$E$6,2,FALSE))</f>
        <v>Томе Милев (131)</v>
      </c>
      <c r="F18" s="168">
        <v>7</v>
      </c>
      <c r="G18" s="169">
        <v>11</v>
      </c>
      <c r="H18" s="170">
        <v>3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5"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Даниел Главевски Зхоу  (108)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IF(GROUPS!J4="","",GROUPS!J4)</f>
        <v>Лука Стојчев (73)</v>
      </c>
      <c r="D3" s="460"/>
      <c r="E3" s="461"/>
      <c r="F3" s="231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70</v>
      </c>
      <c r="Q3" s="137">
        <f>IF(AND(T9="",T13="",T17=""),"",AP3)</f>
        <v>58</v>
      </c>
      <c r="R3" s="431">
        <f>IF(ISERROR(IF(AND(T9="",T13="",T17=""),"",SUM(AB3:AD3)+(N3-O3)/1000)+(AK3/10000)),"",IF(AND(T9="",T13="",T17=""),"",SUM(AB3:AD3)+(N3-O3)/1000)+(AK3/10000)+(AG3/100000))</f>
        <v>3.0028999999999999</v>
      </c>
      <c r="S3" s="431"/>
      <c r="T3" s="138">
        <f>IF(ISERROR(IF(C3="","",RANK(R3,$R$3:$S$6,0))),"",IF(C3="","",RANK(R3,$R$3:$S$6,0)))</f>
        <v>2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Лука Стојчев (73)</v>
      </c>
      <c r="Y3" s="436"/>
      <c r="Z3" s="437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426">
        <f>SUM(AH3:AJ3)-SUM(AM3:AO3)</f>
        <v>12</v>
      </c>
      <c r="AL3" s="427"/>
      <c r="AM3" s="10">
        <f>AH5</f>
        <v>22</v>
      </c>
      <c r="AN3" s="10">
        <f>AI4</f>
        <v>36</v>
      </c>
      <c r="AO3" s="10">
        <f>AJ6</f>
        <v>0</v>
      </c>
      <c r="AP3" s="9">
        <f>SUM(AM3:AO3)</f>
        <v>58</v>
      </c>
    </row>
    <row r="4" spans="2:47" ht="24" customHeight="1">
      <c r="B4" s="234">
        <v>2</v>
      </c>
      <c r="C4" s="460" t="str">
        <f>IF(GROUPS!J5="","",GROUPS!J5)</f>
        <v>Даниел Главевски Зхоу  (108)</v>
      </c>
      <c r="D4" s="460"/>
      <c r="E4" s="461"/>
      <c r="F4" s="232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2</v>
      </c>
      <c r="P4" s="136">
        <f>IF(AND(T10="",U13="",U18=""),"",AG4)</f>
        <v>80</v>
      </c>
      <c r="Q4" s="137">
        <f>IF(AND(T10="",U13="",U18=""),"",AP4)</f>
        <v>72</v>
      </c>
      <c r="R4" s="431">
        <f>IF(ISERROR(IF(AND(T10="",U13="",U18=""),"",SUM(AB4:AD4)+(N4-O4)/1000)+(AK4/10000)+(AG4/100000)),"",IF(AND(T10="",U13="",U18=""),"",SUM(AB4:AD4)+(N4-O4)/1000)+(AK4/10000)+(AG4/100000))</f>
        <v>4.0055999999999994</v>
      </c>
      <c r="S4" s="431"/>
      <c r="T4" s="138">
        <f>IF(ISERROR(IF(C4="","",RANK(R4,$R$3:$S$6,0))),"",IF(C4="","",RANK(R4,$R$3:$S$6,0)))</f>
        <v>1</v>
      </c>
      <c r="U4" s="9"/>
      <c r="V4" s="9"/>
      <c r="W4" s="7">
        <v>3</v>
      </c>
      <c r="X4" s="432" t="str">
        <f t="shared" si="0"/>
        <v>Лука Серафимовски  (161)</v>
      </c>
      <c r="Y4" s="433"/>
      <c r="Z4" s="434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80</v>
      </c>
      <c r="AH4" s="10">
        <f>F10+H10+J10+L10+N10+P10+R10</f>
        <v>0</v>
      </c>
      <c r="AI4" s="10">
        <f>G13+I13+K13+M13+O13+Q13+S13</f>
        <v>36</v>
      </c>
      <c r="AJ4" s="10">
        <f>G18+I18+K18+M18+O18+Q18+S18</f>
        <v>44</v>
      </c>
      <c r="AK4" s="426">
        <f t="shared" ref="AK4:AK6" si="2">SUM(AH4:AJ4)-SUM(AM4:AO4)</f>
        <v>8</v>
      </c>
      <c r="AL4" s="427"/>
      <c r="AM4" s="10">
        <f>AH6</f>
        <v>0</v>
      </c>
      <c r="AN4" s="10">
        <f>AI3</f>
        <v>37</v>
      </c>
      <c r="AO4" s="10">
        <f>AJ5</f>
        <v>35</v>
      </c>
      <c r="AP4" s="9">
        <f t="shared" ref="AP4:AP6" si="3">SUM(AM4:AO4)</f>
        <v>72</v>
      </c>
    </row>
    <row r="5" spans="2:47" ht="24" customHeight="1">
      <c r="B5" s="234">
        <v>3</v>
      </c>
      <c r="C5" s="460" t="str">
        <f>IF(GROUPS!J6="","",GROUPS!J6)</f>
        <v>Лука Серафимовски  (161)</v>
      </c>
      <c r="D5" s="460"/>
      <c r="E5" s="461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57</v>
      </c>
      <c r="Q5" s="137">
        <f>IF(AND(U9="",T14="",T18=""),"",AP5)</f>
        <v>77</v>
      </c>
      <c r="R5" s="431">
        <f>IF(ISERROR(IF(AND(U9="",T14="",T18=""),"",SUM(AB5:AD5)+(N5-O5)/1000)+(AK5/10000)+(AG5/100000)),"",IF(AND(U9="",T14="",T18=""),"",SUM(AB5:AD5)+(N5-O5)/1000)+(AK5/10000)+(AG5/100000))</f>
        <v>1.9935700000000001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57</v>
      </c>
      <c r="AH5" s="10">
        <f>G9+I9+K9+M9+O9+Q9+S9</f>
        <v>22</v>
      </c>
      <c r="AI5" s="10">
        <f>F14+H14+J14+L14+N14+P14+R14</f>
        <v>0</v>
      </c>
      <c r="AJ5" s="10">
        <f>F18+H18+J18+L18+N18+P18+R18</f>
        <v>35</v>
      </c>
      <c r="AK5" s="426">
        <f t="shared" si="2"/>
        <v>-20</v>
      </c>
      <c r="AL5" s="427"/>
      <c r="AM5" s="10">
        <f>AH3</f>
        <v>33</v>
      </c>
      <c r="AN5" s="10">
        <f>AI6</f>
        <v>0</v>
      </c>
      <c r="AO5" s="10">
        <f>AJ4</f>
        <v>44</v>
      </c>
      <c r="AP5" s="9">
        <f t="shared" si="3"/>
        <v>77</v>
      </c>
    </row>
    <row r="6" spans="2:47" ht="24" customHeight="1" thickBot="1">
      <c r="B6" s="235">
        <v>4</v>
      </c>
      <c r="C6" s="465" t="str">
        <f>IF(GROUPS!J7="","",GROUPS!J7)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207</v>
      </c>
      <c r="Q7" s="153">
        <f>SUM(Q3:Q6)</f>
        <v>207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Лука Серафимовски  (161)</v>
      </c>
      <c r="F9" s="158">
        <v>11</v>
      </c>
      <c r="G9" s="159">
        <v>8</v>
      </c>
      <c r="H9" s="160">
        <v>11</v>
      </c>
      <c r="I9" s="159">
        <v>7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Даниел Главевски Зхоу  (108)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Даниел Главевски Зхоу  (108)</v>
      </c>
      <c r="F13" s="158">
        <v>9</v>
      </c>
      <c r="G13" s="159">
        <v>11</v>
      </c>
      <c r="H13" s="160">
        <v>7</v>
      </c>
      <c r="I13" s="159">
        <v>11</v>
      </c>
      <c r="J13" s="158">
        <v>11</v>
      </c>
      <c r="K13" s="161">
        <v>2</v>
      </c>
      <c r="L13" s="160">
        <v>10</v>
      </c>
      <c r="M13" s="159">
        <v>12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Лука Серафимовски  (161)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Лука Серафимовски  (161)</v>
      </c>
      <c r="D18" s="166">
        <v>2</v>
      </c>
      <c r="E18" s="167" t="str">
        <f>IF(C4="","",VLOOKUP(D18,$B$3:$E$6,2,FALSE))</f>
        <v>Даниел Главевски Зхоу  (108)</v>
      </c>
      <c r="F18" s="168">
        <v>7</v>
      </c>
      <c r="G18" s="169">
        <v>11</v>
      </c>
      <c r="H18" s="170">
        <v>5</v>
      </c>
      <c r="I18" s="169">
        <v>11</v>
      </c>
      <c r="J18" s="168">
        <v>11</v>
      </c>
      <c r="K18" s="171">
        <v>8</v>
      </c>
      <c r="L18" s="170">
        <v>12</v>
      </c>
      <c r="M18" s="169">
        <v>14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A4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Teодор Волкановски (188)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IF(GROUPS!D9="","",GROUPS!D9)</f>
        <v>Teодор Волкановски (188)</v>
      </c>
      <c r="D3" s="460"/>
      <c r="E3" s="461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78</v>
      </c>
      <c r="Q3" s="137">
        <f>IF(AND(T9="",T13="",T17=""),"",AP3)</f>
        <v>51</v>
      </c>
      <c r="R3" s="431">
        <f>IF(ISERROR(IF(AND(T9="",T13="",T17=""),"",SUM(AB3:AD3)+(N3-O3)/1000)+(AK3/10000)),"",IF(AND(T9="",T13="",T17=""),"",SUM(AB3:AD3)+(N3-O3)/1000)+(AK3/10000)+(AG3/100000))</f>
        <v>4.0084799999999996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Борис Секулов (130)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426">
        <f>SUM(AH3:AJ3)-SUM(AM3:AO3)</f>
        <v>27</v>
      </c>
      <c r="AL3" s="427"/>
      <c r="AM3" s="10">
        <f>AH5</f>
        <v>17</v>
      </c>
      <c r="AN3" s="10">
        <f>AI4</f>
        <v>34</v>
      </c>
      <c r="AO3" s="10">
        <f>AJ6</f>
        <v>0</v>
      </c>
      <c r="AP3" s="9">
        <f>SUM(AM3:AO3)</f>
        <v>51</v>
      </c>
    </row>
    <row r="4" spans="2:47" ht="24" customHeight="1">
      <c r="B4" s="234">
        <v>2</v>
      </c>
      <c r="C4" s="460" t="str">
        <f>IF(GROUPS!D10="","",GROUPS!D10)</f>
        <v>Борис Секулов (130)</v>
      </c>
      <c r="D4" s="460"/>
      <c r="E4" s="461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5</v>
      </c>
      <c r="P4" s="136">
        <f>IF(AND(T10="",U13="",U18=""),"",AG4)</f>
        <v>88</v>
      </c>
      <c r="Q4" s="137">
        <f>IF(AND(T10="",U13="",U18=""),"",AP4)</f>
        <v>100</v>
      </c>
      <c r="R4" s="431">
        <f>IF(ISERROR(IF(AND(T10="",U13="",U18=""),"",SUM(AB4:AD4)+(N4-O4)/1000)+(AK4/10000)+(AG4/100000)),"",IF(AND(T10="",U13="",U18=""),"",SUM(AB4:AD4)+(N4-O4)/1000)+(AK4/10000)+(AG4/100000))</f>
        <v>2.9986800000000002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2" t="str">
        <f t="shared" si="0"/>
        <v>Филип Ангела (299)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88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54</v>
      </c>
      <c r="AK4" s="426">
        <f t="shared" ref="AK4:AK6" si="2">SUM(AH4:AJ4)-SUM(AM4:AO4)</f>
        <v>-12</v>
      </c>
      <c r="AL4" s="427"/>
      <c r="AM4" s="10">
        <f>AH6</f>
        <v>0</v>
      </c>
      <c r="AN4" s="10">
        <f>AI3</f>
        <v>45</v>
      </c>
      <c r="AO4" s="10">
        <f>AJ5</f>
        <v>55</v>
      </c>
      <c r="AP4" s="9">
        <f t="shared" ref="AP4:AP6" si="3">SUM(AM4:AO4)</f>
        <v>100</v>
      </c>
    </row>
    <row r="5" spans="2:47" ht="24" customHeight="1">
      <c r="B5" s="234">
        <v>3</v>
      </c>
      <c r="C5" s="460" t="str">
        <f>IF(GROUPS!D11="","",GROUPS!D11)</f>
        <v>Филип Ангела (299)</v>
      </c>
      <c r="D5" s="460"/>
      <c r="E5" s="461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72</v>
      </c>
      <c r="Q5" s="137">
        <f>IF(AND(U9="",T14="",T18=""),"",AP5)</f>
        <v>87</v>
      </c>
      <c r="R5" s="431">
        <f>IF(ISERROR(IF(AND(U9="",T14="",T18=""),"",SUM(AB5:AD5)+(N5-O5)/1000)+(AK5/10000)+(AG5/100000)),"",IF(AND(U9="",T14="",T18=""),"",SUM(AB5:AD5)+(N5-O5)/1000)+(AK5/10000)+(AG5/100000))</f>
        <v>1.99522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2" t="str">
        <f t="shared" si="0"/>
        <v/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72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55</v>
      </c>
      <c r="AK5" s="426">
        <f t="shared" si="2"/>
        <v>-15</v>
      </c>
      <c r="AL5" s="427"/>
      <c r="AM5" s="10">
        <f>AH3</f>
        <v>33</v>
      </c>
      <c r="AN5" s="10">
        <f>AI6</f>
        <v>0</v>
      </c>
      <c r="AO5" s="10">
        <f>AJ4</f>
        <v>54</v>
      </c>
      <c r="AP5" s="9">
        <f t="shared" si="3"/>
        <v>87</v>
      </c>
    </row>
    <row r="6" spans="2:47" ht="24" customHeight="1" thickBot="1">
      <c r="B6" s="235">
        <v>4</v>
      </c>
      <c r="C6" s="465" t="str">
        <f>IF(GROUPS!D12="","",GROUPS!D12)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238</v>
      </c>
      <c r="Q7" s="153">
        <f>SUM(Q3:Q6)</f>
        <v>238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Филип Ангела (299)</v>
      </c>
      <c r="F9" s="158">
        <v>11</v>
      </c>
      <c r="G9" s="159">
        <v>2</v>
      </c>
      <c r="H9" s="160">
        <v>11</v>
      </c>
      <c r="I9" s="159">
        <v>7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Борис Секулов (130)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Борис Секулов (130)</v>
      </c>
      <c r="F13" s="158">
        <v>11</v>
      </c>
      <c r="G13" s="159">
        <v>6</v>
      </c>
      <c r="H13" s="160">
        <v>12</v>
      </c>
      <c r="I13" s="159">
        <v>14</v>
      </c>
      <c r="J13" s="158">
        <v>11</v>
      </c>
      <c r="K13" s="161">
        <v>6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Филип Ангела (299)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Филип Ангела (299)</v>
      </c>
      <c r="D18" s="166">
        <v>2</v>
      </c>
      <c r="E18" s="167" t="str">
        <f>IF(C4="","",VLOOKUP(D18,$B$3:$E$6,2,FALSE))</f>
        <v>Борис Секулов (130)</v>
      </c>
      <c r="F18" s="168">
        <v>8</v>
      </c>
      <c r="G18" s="169">
        <v>11</v>
      </c>
      <c r="H18" s="170">
        <v>13</v>
      </c>
      <c r="I18" s="169">
        <v>15</v>
      </c>
      <c r="J18" s="168">
        <v>11</v>
      </c>
      <c r="K18" s="171">
        <v>7</v>
      </c>
      <c r="L18" s="170">
        <v>11</v>
      </c>
      <c r="M18" s="169">
        <v>7</v>
      </c>
      <c r="N18" s="168">
        <v>12</v>
      </c>
      <c r="O18" s="171">
        <v>14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IF(GROUPS!H9="","",GROUPS!H9)</f>
        <v/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IF(GROUPS!H10="","",GROUPS!H10)</f>
        <v/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IF(GROUPS!H11="","",GROUPS!H11)</f>
        <v/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2" t="str">
        <f>IF(GROUPS!H12="","",GROUPS!H12)</f>
        <v/>
      </c>
      <c r="D6" s="423"/>
      <c r="E6" s="424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IF(GROUPS!J9="","",GROUPS!J9)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IF(GROUPS!J10="","",GROUPS!J10)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IF(GROUPS!J11="","",GROUPS!J11)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IF(GROUPS!J12="","",GROUPS!J12)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IF(GROUPS!D14="","",GROUPS!D14)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IF(GROUPS!D15="","",GROUPS!D15)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IF(GROUPS!D16="","",GROUPS!D16)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IF(GROUPS!D17="","",GROUPS!D17)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9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68" t="str">
        <f>IF(GROUPS!F14="","",GROUPS!F14)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IF(GROUPS!F15="","",GROUPS!F15)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IF(GROUPS!F16="","",GROUPS!F16)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IF(GROUPS!F17="","",GROUPS!F17)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IF(GROUPS!H14="","",GROUPS!H14)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IF(GROUPS!H15="","",GROUPS!H15)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IF(GROUPS!H16="","",GROUPS!H16)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IF(GROUPS!H17="","",GROUPS!H17)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3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234">
        <v>1</v>
      </c>
      <c r="C3" s="460" t="str">
        <f>IF(GROUPS!J14="","",GROUPS!J14)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0" t="str">
        <f>IF(GROUPS!J15="","",GROUPS!J15)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0" t="str">
        <f>IF(GROUPS!J16="","",GROUPS!J16)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IF(GROUPS!J17="","",GROUPS!J17)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9" t="s">
        <v>3</v>
      </c>
      <c r="D2" s="463"/>
      <c r="E2" s="464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68" t="str">
        <f>IF(GROUPS!D19="","",GROUPS!D19)</f>
        <v/>
      </c>
      <c r="D3" s="460"/>
      <c r="E3" s="461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IF(GROUPS!D20="","",GROUPS!D20)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IF(GROUPS!D21="","",GROUPS!D21)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IF(GROUPS!D22="","",GROUPS!D22)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IF(GROUPS!F19="","",GROUPS!F19)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IF(GROUPS!F20="","",GROUPS!F20)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IF(GROUPS!F21="","",GROUPS!F21)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IF(GROUPS!F22="","",GROUPS!F22)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IF(GROUPS!H19="","",GROUPS!H19)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IF(GROUPS!H20="","",GROUPS!H20)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IF(GROUPS!H21="","",GROUPS!H21)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IF(GROUPS!H22="","",GROUPS!H22)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2" t="s">
        <v>0</v>
      </c>
      <c r="C1" s="462"/>
      <c r="D1" s="462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48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/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72" t="str">
        <f>IF(GROUPS!J19="","",GROUPS!J19)</f>
        <v/>
      </c>
      <c r="D3" s="473"/>
      <c r="E3" s="47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/>
      </c>
      <c r="Y3" s="436"/>
      <c r="Z3" s="43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6">
        <f>SUM(AH3:AJ3)-SUM(AM3:AO3)</f>
        <v>0</v>
      </c>
      <c r="AL3" s="42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8" t="str">
        <f>IF(GROUPS!J20="","",GROUPS!J20)</f>
        <v/>
      </c>
      <c r="D4" s="460"/>
      <c r="E4" s="461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2" t="str">
        <f t="shared" si="0"/>
        <v/>
      </c>
      <c r="Y4" s="433"/>
      <c r="Z4" s="43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6">
        <f t="shared" ref="AK4:AK6" si="2">SUM(AH4:AJ4)-SUM(AM4:AO4)</f>
        <v>0</v>
      </c>
      <c r="AL4" s="42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8" t="str">
        <f>IF(GROUPS!J21="","",GROUPS!J21)</f>
        <v/>
      </c>
      <c r="D5" s="460"/>
      <c r="E5" s="461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2" t="str">
        <f t="shared" si="0"/>
        <v/>
      </c>
      <c r="Y5" s="433"/>
      <c r="Z5" s="43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6">
        <f t="shared" si="2"/>
        <v>0</v>
      </c>
      <c r="AL5" s="42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7" t="str">
        <f>IF(GROUPS!J22="","",GROUPS!J22)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5" t="str">
        <f>IF(ISERROR(IF(AND(U10="",U14="",U17=""),"",SUM(AB6:AD6)+(N6-O6)/1000)+(AK6/10000)+(AG6/100000)),"",IF(AND(U10="",U14="",U17=""),"",SUM(AB6:AD6)+(N6-O6)/1000)+(AK6/10000)+(AG6/100000))</f>
        <v/>
      </c>
      <c r="S6" s="425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6">
        <f t="shared" si="2"/>
        <v>0</v>
      </c>
      <c r="AL6" s="42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A4" zoomScale="90" zoomScaleNormal="90" workbookViewId="0">
      <selection activeCell="M27" sqref="M27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5" t="s">
        <v>61</v>
      </c>
      <c r="D1" s="48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Дамјан Стојчев (72)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Андреј Стојановски (47)</v>
      </c>
    </row>
    <row r="5" spans="2:42" ht="15.75">
      <c r="B5" s="252" t="s">
        <v>27</v>
      </c>
      <c r="C5" s="244">
        <v>3</v>
      </c>
      <c r="D5" s="245" t="str">
        <f>IF(' II'!$X$2="","",' II'!$X$2)</f>
        <v>Нико Доага (190)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Антонио Аврамски (144)</v>
      </c>
    </row>
    <row r="7" spans="2:42" ht="15.75">
      <c r="B7" s="246" t="s">
        <v>29</v>
      </c>
      <c r="C7" s="247">
        <v>5</v>
      </c>
      <c r="D7" s="241" t="str">
        <f>IF(' III'!$X$2="","",' III'!$X$2)</f>
        <v>Александар Јакимовски (178)</v>
      </c>
      <c r="F7" s="297">
        <v>1</v>
      </c>
      <c r="G7" s="122" t="str">
        <f>IF(F7="","",VLOOKUP(F7,$C$3:$D$8,2,FALSE))</f>
        <v>Дамјан Стојчев (72)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Дамјан Стојчев (72)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Антонио Аврамски (144)</v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7" t="str">
        <f>IF(AJ25="","",IF(AJ25&gt;AJ26,AB25,AB26))</f>
        <v/>
      </c>
    </row>
    <row r="16" spans="2:42" ht="15.75">
      <c r="C16" s="78"/>
      <c r="D16" s="74"/>
      <c r="P16" s="102"/>
      <c r="Y16" s="106"/>
      <c r="AM16" s="487" t="str">
        <f>IF(AJ25="","",IF(AJ25&lt;AJ26,AB25,AB26))</f>
        <v/>
      </c>
      <c r="AN16" s="487"/>
      <c r="AO16" s="488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7"/>
      <c r="AN17" s="487"/>
      <c r="AO17" s="488"/>
      <c r="AP17" s="42"/>
    </row>
    <row r="18" spans="3:42" ht="15.75">
      <c r="C18" s="78"/>
      <c r="D18" s="74"/>
      <c r="P18" s="102"/>
      <c r="Y18" s="106"/>
      <c r="AJ18" s="34"/>
      <c r="AM18" s="487"/>
      <c r="AO18" s="488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Антонио Аврамски (144)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89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Томе Милев (131)</v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91" t="s">
        <v>58</v>
      </c>
      <c r="AO20" s="489"/>
    </row>
    <row r="21" spans="3:42" ht="16.5" thickBot="1">
      <c r="C21" s="78"/>
      <c r="D21" s="74"/>
      <c r="Y21" s="106"/>
      <c r="AK21" s="49"/>
      <c r="AL21" s="49"/>
      <c r="AM21" s="494" t="s">
        <v>59</v>
      </c>
      <c r="AN21" s="492"/>
      <c r="AO21" s="490"/>
      <c r="AP21" s="42"/>
    </row>
    <row r="22" spans="3:42" ht="15.75">
      <c r="C22" s="78"/>
      <c r="D22" s="74"/>
      <c r="Y22" s="106"/>
      <c r="AK22" s="49"/>
      <c r="AL22" s="49"/>
      <c r="AM22" s="495"/>
      <c r="AN22" s="492"/>
      <c r="AO22" s="497" t="s">
        <v>60</v>
      </c>
    </row>
    <row r="23" spans="3:42" ht="16.5" thickBot="1">
      <c r="C23" s="78"/>
      <c r="D23" s="74"/>
      <c r="Y23" s="106"/>
      <c r="AK23" s="49"/>
      <c r="AL23" s="49"/>
      <c r="AM23" s="496"/>
      <c r="AN23" s="493"/>
      <c r="AO23" s="498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6" t="s">
        <v>81</v>
      </c>
      <c r="AM27" s="477"/>
      <c r="AN27" s="477"/>
      <c r="AO27" s="477"/>
      <c r="AP27" s="478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9" t="str">
        <f>IF(AJ25="","",IF(AJ25&gt;AJ26,AB25,AB26))</f>
        <v/>
      </c>
      <c r="AO28" s="479"/>
      <c r="AP28" s="479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0" t="str">
        <f>IF(AJ25="","",IF(AJ25&lt;AJ26,AB25,AB26))</f>
        <v/>
      </c>
      <c r="AO29" s="480"/>
      <c r="AP29" s="480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1" t="str">
        <f>IF(AJ25=AJ26,"",IF(AJ34=AJ35,AB34,IF(AJ34&gt;AJ35,AB34,AB35)))</f>
        <v/>
      </c>
      <c r="AO30" s="481"/>
      <c r="AP30" s="481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Александар Јакимовски (178)</v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1" t="str">
        <f>IF(AJ25=AJ26,"",IF(AJ34=AJ35,AB35,IF(AJ34&lt;AJ35,AB34,AB35)))</f>
        <v/>
      </c>
      <c r="AO31" s="481"/>
      <c r="AP31" s="481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Андреј Стојановски (47)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82" t="str">
        <f>IF(O7="","",IF(O7&lt;O8,G7,G8))</f>
        <v/>
      </c>
      <c r="AO32" s="482"/>
      <c r="AP32" s="482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2" t="str">
        <f>IF(O19="","",IF(O19&lt;O20,G19,G20))</f>
        <v>Томе Милев (131)</v>
      </c>
      <c r="AO33" s="482"/>
      <c r="AP33" s="48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2" t="str">
        <f>IF(O31="","",IF(O31&lt;O32,G31,G32))</f>
        <v>Александар Јакимовски (178)</v>
      </c>
      <c r="AO34" s="482"/>
      <c r="AP34" s="48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3" t="str">
        <f>IF(O43="","",IF(O43&lt;O44,G43,G44))</f>
        <v/>
      </c>
      <c r="AO35" s="483"/>
      <c r="AP35" s="483"/>
    </row>
    <row r="36" spans="3:42">
      <c r="P36" s="102"/>
      <c r="Y36" s="107"/>
      <c r="AK36" s="49"/>
      <c r="AL36" s="190"/>
      <c r="AM36" s="191"/>
      <c r="AN36" s="484"/>
      <c r="AO36" s="484"/>
      <c r="AP36" s="484"/>
    </row>
    <row r="37" spans="3:42">
      <c r="C37" s="42"/>
      <c r="D37" s="42"/>
      <c r="P37" s="102"/>
      <c r="Q37" s="121" t="str">
        <f>IF(O31="","",IF(O31&gt;O32,G31,G32))</f>
        <v>Андреј Стојановски (47)</v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5"/>
      <c r="AO37" s="475"/>
      <c r="AP37" s="475"/>
    </row>
    <row r="38" spans="3:42">
      <c r="P38" s="108"/>
      <c r="Q38" s="121" t="str">
        <f>G44</f>
        <v>Нико Доага (190)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5"/>
      <c r="AO38" s="475"/>
      <c r="AP38" s="475"/>
    </row>
    <row r="39" spans="3:42">
      <c r="P39" s="102"/>
      <c r="AK39" s="49"/>
      <c r="AL39" s="189"/>
      <c r="AM39" s="75"/>
      <c r="AN39" s="475"/>
      <c r="AO39" s="475"/>
      <c r="AP39" s="475"/>
    </row>
    <row r="40" spans="3:42">
      <c r="P40" s="102"/>
      <c r="AK40" s="49"/>
      <c r="AL40" s="189"/>
      <c r="AM40" s="75"/>
      <c r="AN40" s="475"/>
      <c r="AO40" s="475"/>
      <c r="AP40" s="475"/>
    </row>
    <row r="41" spans="3:42">
      <c r="C41" s="42"/>
      <c r="D41" s="42"/>
      <c r="O41" s="34"/>
      <c r="P41" s="102"/>
      <c r="AK41" s="49"/>
      <c r="AL41" s="189"/>
      <c r="AM41" s="75"/>
      <c r="AN41" s="475"/>
      <c r="AO41" s="475"/>
      <c r="AP41" s="475"/>
    </row>
    <row r="42" spans="3:42">
      <c r="E42" s="48"/>
      <c r="O42" s="34"/>
      <c r="P42" s="102"/>
      <c r="AK42" s="49"/>
      <c r="AL42" s="189"/>
      <c r="AM42" s="75"/>
      <c r="AN42" s="475"/>
      <c r="AO42" s="475"/>
      <c r="AP42" s="475"/>
    </row>
    <row r="43" spans="3:42">
      <c r="E43" s="48"/>
      <c r="O43" s="298"/>
      <c r="AK43" s="49"/>
      <c r="AL43" s="189"/>
      <c r="AM43" s="75"/>
      <c r="AN43" s="475"/>
      <c r="AO43" s="475"/>
      <c r="AP43" s="475"/>
    </row>
    <row r="44" spans="3:42">
      <c r="E44" s="48"/>
      <c r="F44" s="297">
        <v>3</v>
      </c>
      <c r="G44" s="122" t="str">
        <f>IF(F44="","",VLOOKUP(F44,$C$3:$D$8,2,FALSE))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5"/>
      <c r="AO50" s="475"/>
      <c r="AP50" s="475"/>
    </row>
    <row r="51" spans="3:42">
      <c r="AM51" s="75"/>
      <c r="AN51" s="475"/>
      <c r="AO51" s="475"/>
      <c r="AP51" s="475"/>
    </row>
    <row r="52" spans="3:42">
      <c r="AM52" s="75"/>
      <c r="AN52" s="475"/>
      <c r="AO52" s="475"/>
      <c r="AP52" s="47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9" t="s">
        <v>61</v>
      </c>
      <c r="D1" s="486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Дамјан Стојчев (72)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Андреј Стојановски (47)</v>
      </c>
    </row>
    <row r="5" spans="2:47" ht="15.75">
      <c r="B5" s="64" t="s">
        <v>27</v>
      </c>
      <c r="C5" s="64">
        <v>3</v>
      </c>
      <c r="D5" s="29" t="str">
        <f>IF(' II'!$X$2="","",' II'!$X$2)</f>
        <v>Нико Доага (190)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Антонио Аврамски (144)</v>
      </c>
    </row>
    <row r="7" spans="2:47" ht="15.75">
      <c r="B7" s="64" t="s">
        <v>29</v>
      </c>
      <c r="C7" s="64">
        <v>5</v>
      </c>
      <c r="D7" s="25" t="str">
        <f>IF(' III'!$X$2="","",' III'!$X$2)</f>
        <v>Александар Јакимовски (178)</v>
      </c>
      <c r="F7" s="360">
        <v>1</v>
      </c>
      <c r="G7" s="177" t="str">
        <f>IF(F7="","",VLOOKUP(F7,$C$3:$D$10,2,FALSE))</f>
        <v>Дамјан Стојчев (72)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Даниел Главевски Зхоу  (108)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Лука Стојчев (73)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87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87" t="str">
        <f>IF(AJ25="","",IF(AJ25&lt;AJ26,AB25,AB26))</f>
        <v/>
      </c>
      <c r="AN16" s="487"/>
      <c r="AO16" s="488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7"/>
      <c r="AN17" s="487"/>
      <c r="AO17" s="488"/>
    </row>
    <row r="18" spans="1:42" ht="15.75">
      <c r="B18" s="78"/>
      <c r="C18" s="78"/>
      <c r="D18" s="74"/>
      <c r="P18" s="102"/>
      <c r="Y18" s="106"/>
      <c r="AJ18" s="34"/>
      <c r="AM18" s="487"/>
      <c r="AO18" s="488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9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1" t="s">
        <v>58</v>
      </c>
      <c r="AO20" s="489"/>
    </row>
    <row r="21" spans="1:42" s="42" customFormat="1" ht="16.149999999999999" customHeight="1" thickBot="1">
      <c r="A21" s="49"/>
      <c r="B21" s="49"/>
      <c r="C21" s="500" t="s">
        <v>618</v>
      </c>
      <c r="D21" s="500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4" t="s">
        <v>59</v>
      </c>
      <c r="AN21" s="492"/>
      <c r="AO21" s="490"/>
    </row>
    <row r="22" spans="1:42" ht="15.6" customHeight="1">
      <c r="A22" s="49"/>
      <c r="B22" s="49"/>
      <c r="C22" s="500"/>
      <c r="D22" s="500"/>
      <c r="Y22" s="106"/>
      <c r="AK22" s="49"/>
      <c r="AL22" s="49"/>
      <c r="AM22" s="495"/>
      <c r="AN22" s="492"/>
      <c r="AO22" s="497" t="s">
        <v>60</v>
      </c>
    </row>
    <row r="23" spans="1:42" ht="16.149999999999999" customHeight="1" thickBot="1">
      <c r="A23" s="49"/>
      <c r="B23" s="49"/>
      <c r="C23" s="500"/>
      <c r="D23" s="500"/>
      <c r="Y23" s="106"/>
      <c r="AK23" s="49"/>
      <c r="AL23" s="49"/>
      <c r="AM23" s="496"/>
      <c r="AN23" s="493"/>
      <c r="AO23" s="498"/>
    </row>
    <row r="24" spans="1:42" ht="15.6" customHeight="1">
      <c r="A24" s="49"/>
      <c r="B24" s="49"/>
      <c r="C24" s="500"/>
      <c r="D24" s="500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6" t="s">
        <v>81</v>
      </c>
      <c r="AM27" s="477"/>
      <c r="AN27" s="477"/>
      <c r="AO27" s="477"/>
      <c r="AP27" s="478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9" t="str">
        <f>IF(AJ25="","",IF(AJ25&gt;AJ26,AB25,AB26))</f>
        <v/>
      </c>
      <c r="AO28" s="479"/>
      <c r="AP28" s="479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0" t="str">
        <f>IF(AJ25="","",IF(AJ25&lt;AJ26,AB25,AB26))</f>
        <v/>
      </c>
      <c r="AO29" s="480"/>
      <c r="AP29" s="480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1" t="str">
        <f>IF(AJ25=AJ26,"",IF(AJ34=AJ35,AB34,IF(AJ34&gt;AJ35,AB34,AB35)))</f>
        <v/>
      </c>
      <c r="AO30" s="481"/>
      <c r="AP30" s="481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1" t="str">
        <f>IF(AJ25=AJ26,"",IF(AJ34=AJ35,AB35,IF(AJ34&lt;AJ35,AB34,AB35)))</f>
        <v/>
      </c>
      <c r="AO31" s="481"/>
      <c r="AP31" s="481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2" t="str">
        <f>IF(O7="","",IF(O7&lt;O8,G7,G8))</f>
        <v/>
      </c>
      <c r="AO32" s="482"/>
      <c r="AP32" s="482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2" t="str">
        <f>IF(O19="","",IF(O19&lt;O20,G19,G20))</f>
        <v/>
      </c>
      <c r="AO33" s="482"/>
      <c r="AP33" s="48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2" t="str">
        <f>IF(O31="","",IF(O31&lt;O32,G31,G32))</f>
        <v/>
      </c>
      <c r="AO34" s="482"/>
      <c r="AP34" s="48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2" t="str">
        <f>IF(O43="","",IF(O43&lt;O44,G43,G44))</f>
        <v/>
      </c>
      <c r="AO35" s="482"/>
      <c r="AP35" s="482"/>
    </row>
    <row r="36" spans="3:42">
      <c r="P36" s="102"/>
      <c r="Y36" s="107"/>
      <c r="AK36" s="49"/>
      <c r="AL36" s="189"/>
      <c r="AM36" s="75"/>
      <c r="AN36" s="475"/>
      <c r="AO36" s="475"/>
      <c r="AP36" s="47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5"/>
      <c r="AO37" s="475"/>
      <c r="AP37" s="475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5"/>
      <c r="AO38" s="475"/>
      <c r="AP38" s="475"/>
    </row>
    <row r="39" spans="3:42">
      <c r="P39" s="102"/>
      <c r="AK39" s="49"/>
      <c r="AL39" s="189"/>
      <c r="AM39" s="75"/>
      <c r="AN39" s="475"/>
      <c r="AO39" s="475"/>
      <c r="AP39" s="475"/>
    </row>
    <row r="40" spans="3:42">
      <c r="P40" s="102"/>
      <c r="AK40" s="49"/>
      <c r="AL40" s="189"/>
      <c r="AM40" s="75"/>
      <c r="AN40" s="475"/>
      <c r="AO40" s="475"/>
      <c r="AP40" s="47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5"/>
      <c r="AO41" s="475"/>
      <c r="AP41" s="475"/>
    </row>
    <row r="42" spans="3:42">
      <c r="O42" s="34"/>
      <c r="P42" s="102"/>
      <c r="AK42" s="49"/>
      <c r="AL42" s="189"/>
      <c r="AM42" s="75"/>
      <c r="AN42" s="475"/>
      <c r="AO42" s="475"/>
      <c r="AP42" s="475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5"/>
      <c r="AO43" s="475"/>
      <c r="AP43" s="475"/>
    </row>
    <row r="44" spans="3:42">
      <c r="F44" s="360">
        <v>3</v>
      </c>
      <c r="G44" s="177" t="str">
        <f>IF(F44="","",VLOOKUP(F44,$C$3:$D$10,2,FALSE))</f>
        <v>Нико Доага (190)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5"/>
      <c r="AO50" s="475"/>
      <c r="AP50" s="475"/>
    </row>
    <row r="51" spans="6:42">
      <c r="AM51" s="75"/>
      <c r="AN51" s="475"/>
      <c r="AO51" s="475"/>
      <c r="AP51" s="475"/>
    </row>
    <row r="52" spans="6:42">
      <c r="AM52" s="75"/>
      <c r="AN52" s="475"/>
      <c r="AO52" s="475"/>
      <c r="AP52" s="47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B2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0" t="s">
        <v>0</v>
      </c>
      <c r="C1" s="440"/>
      <c r="D1" s="44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1" t="s">
        <v>1</v>
      </c>
      <c r="R1" s="441"/>
      <c r="S1" s="441"/>
      <c r="T1" s="441"/>
      <c r="U1" s="44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2" t="s">
        <v>3</v>
      </c>
      <c r="D2" s="443"/>
      <c r="E2" s="444"/>
      <c r="F2" s="445">
        <v>1</v>
      </c>
      <c r="G2" s="446"/>
      <c r="H2" s="447">
        <v>2</v>
      </c>
      <c r="I2" s="446"/>
      <c r="J2" s="447">
        <v>3</v>
      </c>
      <c r="K2" s="446"/>
      <c r="L2" s="447">
        <v>4</v>
      </c>
      <c r="M2" s="448"/>
      <c r="N2" s="449" t="s">
        <v>4</v>
      </c>
      <c r="O2" s="450"/>
      <c r="P2" s="451" t="s">
        <v>84</v>
      </c>
      <c r="Q2" s="452"/>
      <c r="R2" s="453" t="s">
        <v>5</v>
      </c>
      <c r="S2" s="453"/>
      <c r="T2" s="126" t="s">
        <v>6</v>
      </c>
      <c r="W2" s="7">
        <v>1</v>
      </c>
      <c r="X2" s="435" t="str">
        <f>IF(ISERROR(INDEX($C$3:$C$6,MATCH(W2,$T$3:$T$6,0))),"",(INDEX($C$3:$C$6,MATCH(W2,$T$3:$T$6,0))))</f>
        <v>Антонио Крстевски (177)</v>
      </c>
      <c r="Y2" s="436"/>
      <c r="Z2" s="437"/>
      <c r="AB2" s="438" t="s">
        <v>85</v>
      </c>
      <c r="AC2" s="438"/>
      <c r="AD2" s="438"/>
      <c r="AE2" s="438"/>
      <c r="AG2" s="6" t="s">
        <v>86</v>
      </c>
      <c r="AK2" s="439" t="s">
        <v>87</v>
      </c>
      <c r="AL2" s="439"/>
      <c r="AP2" s="6" t="s">
        <v>88</v>
      </c>
    </row>
    <row r="3" spans="2:47" ht="24" customHeight="1">
      <c r="B3" s="127">
        <v>1</v>
      </c>
      <c r="C3" s="428" t="str">
        <f>IF(GROUPS!F9="","",GROUPS!F9)</f>
        <v>Антонио Крстевски (177)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104</v>
      </c>
      <c r="Q3" s="137">
        <f>IF(AND(T9="",T13="",T17=""),"",AP3)</f>
        <v>47</v>
      </c>
      <c r="R3" s="431">
        <f>IF(ISERROR(IF(AND(T9="",T13="",T17=""),"",SUM(AB3:AD3)+(N3-O3)/1000)+(AK3/10000)),"",IF(AND(T9="",T13="",T17=""),"",SUM(AB3:AD3)+(N3-O3)/1000)+(AK3/10000)+(AG3/100000))</f>
        <v>6.0157400000000001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35" t="str">
        <f t="shared" ref="X3:X5" si="0">IF(ISERROR(INDEX($C$3:$C$6,MATCH(W3,$T$3:$T$6,0))),"",(INDEX($C$3:$C$6,MATCH(W3,$T$3:$T$6,0))))</f>
        <v>Леонид Гошев (158)</v>
      </c>
      <c r="Y3" s="436"/>
      <c r="Z3" s="43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104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38</v>
      </c>
      <c r="AK3" s="426">
        <f>SUM(AH3:AJ3)-SUM(AM3:AO3)</f>
        <v>57</v>
      </c>
      <c r="AL3" s="427"/>
      <c r="AM3" s="10">
        <f>AH5</f>
        <v>10</v>
      </c>
      <c r="AN3" s="10">
        <f>AI4</f>
        <v>12</v>
      </c>
      <c r="AO3" s="10">
        <f>AJ6</f>
        <v>25</v>
      </c>
      <c r="AP3" s="9">
        <f>SUM(AM3:AO3)</f>
        <v>47</v>
      </c>
    </row>
    <row r="4" spans="2:47" ht="24" customHeight="1">
      <c r="B4" s="127">
        <v>2</v>
      </c>
      <c r="C4" s="428" t="str">
        <f>IF(GROUPS!F10="","",GROUPS!F10)</f>
        <v>Иван Богатинов (76)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0</v>
      </c>
      <c r="M4" s="141">
        <f>U10</f>
        <v>3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62</v>
      </c>
      <c r="Q4" s="137">
        <f>IF(AND(T10="",U13="",U18=""),"",AP4)</f>
        <v>79</v>
      </c>
      <c r="R4" s="431">
        <f>IF(ISERROR(IF(AND(T10="",U13="",U18=""),"",SUM(AB4:AD4)+(N4-O4)/1000)+(AK4/10000)+(AG4/100000)),"",IF(AND(T10="",U13="",U18=""),"",SUM(AB4:AD4)+(N4-O4)/1000)+(AK4/10000)+(AG4/100000))</f>
        <v>3.9959199999999999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32" t="str">
        <f t="shared" si="0"/>
        <v>Иван Богатинов (76)</v>
      </c>
      <c r="Y4" s="433"/>
      <c r="Z4" s="43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62</v>
      </c>
      <c r="AH4" s="10">
        <f>F10+H10+J10+L10+N10+P10+R10</f>
        <v>17</v>
      </c>
      <c r="AI4" s="10">
        <f>G13+I13+K13+M13+O13+Q13+S13</f>
        <v>12</v>
      </c>
      <c r="AJ4" s="10">
        <f>G18+I18+K18+M18+O18+Q18+S18</f>
        <v>33</v>
      </c>
      <c r="AK4" s="426">
        <f t="shared" ref="AK4:AK6" si="2">SUM(AH4:AJ4)-SUM(AM4:AO4)</f>
        <v>-17</v>
      </c>
      <c r="AL4" s="427"/>
      <c r="AM4" s="10">
        <f>AH6</f>
        <v>33</v>
      </c>
      <c r="AN4" s="10">
        <f>AI3</f>
        <v>33</v>
      </c>
      <c r="AO4" s="10">
        <f>AJ5</f>
        <v>13</v>
      </c>
      <c r="AP4" s="9">
        <f t="shared" ref="AP4:AP6" si="3">SUM(AM4:AO4)</f>
        <v>79</v>
      </c>
    </row>
    <row r="5" spans="2:47" ht="24" customHeight="1">
      <c r="B5" s="127">
        <v>3</v>
      </c>
      <c r="C5" s="428" t="str">
        <f>IF(GROUPS!F11="","",GROUPS!F11)</f>
        <v>Андреј Бејковски (440)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31</v>
      </c>
      <c r="Q5" s="137">
        <f>IF(AND(U9="",T14="",T18=""),"",AP5)</f>
        <v>99</v>
      </c>
      <c r="R5" s="431">
        <f>IF(ISERROR(IF(AND(U9="",T14="",T18=""),"",SUM(AB5:AD5)+(N5-O5)/1000)+(AK5/10000)+(AG5/100000)),"",IF(AND(U9="",T14="",T18=""),"",SUM(AB5:AD5)+(N5-O5)/1000)+(AK5/10000)+(AG5/100000))</f>
        <v>2.9845099999999998</v>
      </c>
      <c r="S5" s="431"/>
      <c r="T5" s="138">
        <f>IF(ISERROR(IF(C5="","",RANK(R5,$R$3:$S$6,0))),"",IF(C5="","",RANK(R5,$R$3:$S$6,0)))</f>
        <v>4</v>
      </c>
      <c r="U5" s="9"/>
      <c r="V5" s="9"/>
      <c r="W5" s="7">
        <v>4</v>
      </c>
      <c r="X5" s="432" t="str">
        <f t="shared" si="0"/>
        <v>Андреј Бејковски (440)</v>
      </c>
      <c r="Y5" s="433"/>
      <c r="Z5" s="43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31</v>
      </c>
      <c r="AH5" s="10">
        <f>G9+I9+K9+M9+O9+Q9+S9</f>
        <v>10</v>
      </c>
      <c r="AI5" s="10">
        <f>F14+H14+J14+L14+N14+P14+R14</f>
        <v>8</v>
      </c>
      <c r="AJ5" s="10">
        <f>F18+H18+J18+L18+N18+P18+R18</f>
        <v>13</v>
      </c>
      <c r="AK5" s="426">
        <f t="shared" si="2"/>
        <v>-68</v>
      </c>
      <c r="AL5" s="427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42">
        <v>4</v>
      </c>
      <c r="C6" s="422" t="str">
        <f>IF(GROUPS!F12="","",GROUPS!F12)</f>
        <v>Леонид Гошев (158)</v>
      </c>
      <c r="D6" s="423"/>
      <c r="E6" s="424"/>
      <c r="F6" s="14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3</v>
      </c>
      <c r="P6" s="150">
        <f>IF(AND(U10="",U14="",U17=""),"",AG6)</f>
        <v>91</v>
      </c>
      <c r="Q6" s="151">
        <f>IF(AND(U10="",U14="",U17=""),"",AP6)</f>
        <v>63</v>
      </c>
      <c r="R6" s="425">
        <f>IF(ISERROR(IF(AND(U10="",U14="",U17=""),"",SUM(AB6:AD6)+(N6-O6)/1000)+(AK6/10000)+(AG6/100000)),"",IF(AND(U10="",U14="",U17=""),"",SUM(AB6:AD6)+(N6-O6)/1000)+(AK6/10000)+(AG6/100000))</f>
        <v>5.00671</v>
      </c>
      <c r="S6" s="425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91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25</v>
      </c>
      <c r="AK6" s="426">
        <f t="shared" si="2"/>
        <v>28</v>
      </c>
      <c r="AL6" s="427"/>
      <c r="AM6" s="10">
        <f>AH4</f>
        <v>17</v>
      </c>
      <c r="AN6" s="10">
        <f>AI5</f>
        <v>8</v>
      </c>
      <c r="AO6" s="10">
        <f>AJ3</f>
        <v>38</v>
      </c>
      <c r="AP6" s="9">
        <f t="shared" si="3"/>
        <v>63</v>
      </c>
    </row>
    <row r="7" spans="2:47" ht="19.5" thickBot="1">
      <c r="P7" s="153">
        <f>SUM(P3:P6)</f>
        <v>288</v>
      </c>
      <c r="Q7" s="153">
        <f>SUM(Q3:Q6)</f>
        <v>288</v>
      </c>
    </row>
    <row r="8" spans="2:47" ht="19.5" thickBot="1">
      <c r="B8" s="412" t="s">
        <v>7</v>
      </c>
      <c r="C8" s="417"/>
      <c r="D8" s="417"/>
      <c r="E8" s="413"/>
      <c r="F8" s="418" t="s">
        <v>8</v>
      </c>
      <c r="G8" s="419"/>
      <c r="H8" s="415" t="s">
        <v>9</v>
      </c>
      <c r="I8" s="419"/>
      <c r="J8" s="415" t="s">
        <v>10</v>
      </c>
      <c r="K8" s="419"/>
      <c r="L8" s="415" t="s">
        <v>11</v>
      </c>
      <c r="M8" s="419"/>
      <c r="N8" s="415" t="s">
        <v>12</v>
      </c>
      <c r="O8" s="419"/>
      <c r="P8" s="415" t="s">
        <v>13</v>
      </c>
      <c r="Q8" s="419"/>
      <c r="R8" s="415" t="s">
        <v>14</v>
      </c>
      <c r="S8" s="416"/>
      <c r="T8" s="412" t="s">
        <v>15</v>
      </c>
      <c r="U8" s="413"/>
      <c r="AB8" s="420">
        <v>1</v>
      </c>
      <c r="AC8" s="421"/>
      <c r="AD8" s="420">
        <v>2</v>
      </c>
      <c r="AE8" s="421"/>
      <c r="AF8" s="420">
        <v>3</v>
      </c>
      <c r="AG8" s="421"/>
      <c r="AH8" s="420">
        <v>4</v>
      </c>
      <c r="AI8" s="421"/>
      <c r="AJ8" s="420">
        <v>5</v>
      </c>
      <c r="AK8" s="421"/>
      <c r="AL8" s="420">
        <v>6</v>
      </c>
      <c r="AM8" s="421"/>
      <c r="AN8" s="420">
        <v>7</v>
      </c>
      <c r="AO8" s="421"/>
    </row>
    <row r="9" spans="2:47">
      <c r="B9" s="154">
        <v>1</v>
      </c>
      <c r="C9" s="155" t="str">
        <f>IF(C3="","",VLOOKUP(B9,$B$3:$E$6,2,FALSE))</f>
        <v>Антонио Крстевски (177)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2</v>
      </c>
      <c r="H9" s="160">
        <v>11</v>
      </c>
      <c r="I9" s="159">
        <v>7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Иван Богатинов (76)</v>
      </c>
      <c r="D10" s="166">
        <v>4</v>
      </c>
      <c r="E10" s="167" t="str">
        <f>IF(C6="","",VLOOKUP(D10,$B$3:$E$6,2,FALSE))</f>
        <v>Леонид Гошев (158)</v>
      </c>
      <c r="F10" s="168">
        <v>6</v>
      </c>
      <c r="G10" s="169">
        <v>11</v>
      </c>
      <c r="H10" s="170">
        <v>6</v>
      </c>
      <c r="I10" s="169">
        <v>11</v>
      </c>
      <c r="J10" s="168">
        <v>5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2" t="s">
        <v>16</v>
      </c>
      <c r="C12" s="417"/>
      <c r="D12" s="417"/>
      <c r="E12" s="413"/>
      <c r="F12" s="418" t="s">
        <v>8</v>
      </c>
      <c r="G12" s="419"/>
      <c r="H12" s="415" t="s">
        <v>9</v>
      </c>
      <c r="I12" s="419"/>
      <c r="J12" s="415" t="s">
        <v>10</v>
      </c>
      <c r="K12" s="419"/>
      <c r="L12" s="415" t="s">
        <v>11</v>
      </c>
      <c r="M12" s="419"/>
      <c r="N12" s="415" t="s">
        <v>12</v>
      </c>
      <c r="O12" s="419"/>
      <c r="P12" s="415" t="s">
        <v>13</v>
      </c>
      <c r="Q12" s="419"/>
      <c r="R12" s="415" t="s">
        <v>14</v>
      </c>
      <c r="S12" s="416"/>
      <c r="T12" s="412" t="s">
        <v>15</v>
      </c>
      <c r="U12" s="413"/>
      <c r="AU12" s="176"/>
    </row>
    <row r="13" spans="2:47">
      <c r="B13" s="154">
        <v>1</v>
      </c>
      <c r="C13" s="174" t="str">
        <f>IF(C3="","",VLOOKUP(B13,$B$3:$E$6,2,FALSE))</f>
        <v>Антонио Крстевски (177)</v>
      </c>
      <c r="D13" s="156">
        <v>2</v>
      </c>
      <c r="E13" s="157" t="str">
        <f>IF(C4="","",VLOOKUP(D13,$B$3:$E$6,2,FALSE))</f>
        <v>Иван Богатинов (76)</v>
      </c>
      <c r="F13" s="158">
        <v>11</v>
      </c>
      <c r="G13" s="159">
        <v>6</v>
      </c>
      <c r="H13" s="160">
        <v>11</v>
      </c>
      <c r="I13" s="159">
        <v>2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>Леонид Гошев (158)</v>
      </c>
      <c r="F14" s="168">
        <v>4</v>
      </c>
      <c r="G14" s="169">
        <v>11</v>
      </c>
      <c r="H14" s="170">
        <v>1</v>
      </c>
      <c r="I14" s="169">
        <v>11</v>
      </c>
      <c r="J14" s="168">
        <v>3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2" t="s">
        <v>17</v>
      </c>
      <c r="C16" s="417"/>
      <c r="D16" s="417"/>
      <c r="E16" s="413"/>
      <c r="F16" s="418" t="s">
        <v>8</v>
      </c>
      <c r="G16" s="419"/>
      <c r="H16" s="415" t="s">
        <v>9</v>
      </c>
      <c r="I16" s="419"/>
      <c r="J16" s="415" t="s">
        <v>10</v>
      </c>
      <c r="K16" s="419"/>
      <c r="L16" s="415" t="s">
        <v>11</v>
      </c>
      <c r="M16" s="419"/>
      <c r="N16" s="415" t="s">
        <v>12</v>
      </c>
      <c r="O16" s="419"/>
      <c r="P16" s="415" t="s">
        <v>13</v>
      </c>
      <c r="Q16" s="419"/>
      <c r="R16" s="415" t="s">
        <v>14</v>
      </c>
      <c r="S16" s="416"/>
      <c r="T16" s="412" t="s">
        <v>15</v>
      </c>
      <c r="U16" s="413"/>
    </row>
    <row r="17" spans="2:41">
      <c r="B17" s="154">
        <v>1</v>
      </c>
      <c r="C17" s="155" t="str">
        <f>IF(C3="","",VLOOKUP(B17,$B$3:$E$6,2,FALSE))</f>
        <v>Антонио Крстевски (177)</v>
      </c>
      <c r="D17" s="156">
        <v>4</v>
      </c>
      <c r="E17" s="157" t="str">
        <f>IF(C6="","",VLOOKUP(D17,$B$3:$E$6,2,FALSE))</f>
        <v>Леонид Гошев (158)</v>
      </c>
      <c r="F17" s="158">
        <v>11</v>
      </c>
      <c r="G17" s="159">
        <v>6</v>
      </c>
      <c r="H17" s="160">
        <v>11</v>
      </c>
      <c r="I17" s="159">
        <v>5</v>
      </c>
      <c r="J17" s="158">
        <v>16</v>
      </c>
      <c r="K17" s="161">
        <v>14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Иван Богатинов (76)</v>
      </c>
      <c r="F18" s="168">
        <v>6</v>
      </c>
      <c r="G18" s="169">
        <v>11</v>
      </c>
      <c r="H18" s="170">
        <v>4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AC13" zoomScale="80" zoomScaleNormal="80" workbookViewId="0">
      <selection activeCell="AQ26" sqref="AQ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5" t="s">
        <v>61</v>
      </c>
      <c r="D1" s="48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Дамјан Стојчев (72)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Андреј Стојановски (47)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Нико Доага (190)</v>
      </c>
      <c r="F5" s="181">
        <v>1</v>
      </c>
      <c r="G5" s="182" t="str">
        <f>IF(F5="","",VLOOKUP(F5,$C$3:$D$18,2,FALSE))</f>
        <v>Дамјан Стојчев (72)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Антонио Аврамски (144)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Александар Јакимовски (178)</v>
      </c>
      <c r="F7" s="179"/>
      <c r="P7" s="102"/>
      <c r="Q7" s="122" t="str">
        <f>G5</f>
        <v>Дамјан Стојчев (72)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Томе Милев (131)</v>
      </c>
      <c r="F8" s="179"/>
      <c r="P8" s="108"/>
      <c r="Q8" s="122" t="str">
        <f>IF(O10="","",IF(O10&gt;O11,G10,G11))</f>
        <v>Томе Милев (131)</v>
      </c>
      <c r="R8" s="101">
        <v>4</v>
      </c>
      <c r="S8" s="101">
        <v>8</v>
      </c>
      <c r="T8" s="101">
        <v>6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Даниел Главевски Зхоу  (108)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Лука Стојчев (73)</v>
      </c>
      <c r="F10" s="178">
        <v>12</v>
      </c>
      <c r="G10" s="177" t="str">
        <f>IF(F10="","",VLOOKUP(F10,$C$3:$D$18,2,FALSE))</f>
        <v>Леонид Гошев (158)</v>
      </c>
      <c r="H10" s="101">
        <v>11</v>
      </c>
      <c r="I10" s="101">
        <v>9</v>
      </c>
      <c r="J10" s="101">
        <v>5</v>
      </c>
      <c r="K10" s="101">
        <v>8</v>
      </c>
      <c r="L10" s="101"/>
      <c r="M10" s="101"/>
      <c r="N10" s="101"/>
      <c r="O10" s="19">
        <f>IF(H10="","",SUMPRODUCT(--(H10:N10&gt;H11:N11)))</f>
        <v>1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Teодор Волкановски (188)</v>
      </c>
      <c r="F11" s="180">
        <v>6</v>
      </c>
      <c r="G11" s="177" t="str">
        <f>IF(F11="","",VLOOKUP(F11,$C$3:$D$18,2,FALSE))</f>
        <v>Томе Милев (131)</v>
      </c>
      <c r="H11" s="101">
        <v>5</v>
      </c>
      <c r="I11" s="101">
        <v>11</v>
      </c>
      <c r="J11" s="101">
        <v>11</v>
      </c>
      <c r="K11" s="101">
        <v>11</v>
      </c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Борис Секулов (130)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Антонио Крстевски (177)</v>
      </c>
      <c r="F13" s="179"/>
      <c r="O13" s="34"/>
      <c r="Z13" s="102"/>
      <c r="AA13" s="121" t="str">
        <f>IF(Y7="","",IF(Y7&gt;Y8,Q7,Q8))</f>
        <v>Дамјан Стојчев (72)</v>
      </c>
      <c r="AB13" s="101">
        <v>11</v>
      </c>
      <c r="AC13" s="101">
        <v>11</v>
      </c>
      <c r="AD13" s="101">
        <v>9</v>
      </c>
      <c r="AE13" s="101">
        <v>11</v>
      </c>
      <c r="AF13" s="101">
        <v>11</v>
      </c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Леонид Гошев (158)</v>
      </c>
      <c r="F14" s="179"/>
      <c r="O14" s="34"/>
      <c r="Z14" s="108"/>
      <c r="AA14" s="121" t="str">
        <f>IF(Y19="","",IF(Y19&gt;Y20,Q19,Q20))</f>
        <v>Tеодор Волкановски (188)</v>
      </c>
      <c r="AB14" s="101">
        <v>3</v>
      </c>
      <c r="AC14" s="101">
        <v>3</v>
      </c>
      <c r="AD14" s="101">
        <v>11</v>
      </c>
      <c r="AE14" s="101">
        <v>13</v>
      </c>
      <c r="AF14" s="101">
        <v>9</v>
      </c>
      <c r="AG14" s="101"/>
      <c r="AH14" s="101"/>
      <c r="AI14" s="19">
        <f>IF(AB13="","",SUMPRODUCT(--(AB13:AH13&lt;AB14:AH14)))</f>
        <v>2</v>
      </c>
      <c r="AJ14" s="41"/>
    </row>
    <row r="15" spans="2:52" ht="15.75">
      <c r="C15" s="78"/>
      <c r="D15" s="74"/>
      <c r="F15" s="179"/>
      <c r="Z15" s="102"/>
      <c r="AI15" s="105"/>
      <c r="AX15" s="487" t="str">
        <f>IF(AT25="","",IF(AT25&gt;AT26,AL25,AL26))</f>
        <v>Дамјан Стојчев (72)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7" t="str">
        <f>IF(AT25="","",IF(AT25&lt;AT26,AL25,AL26))</f>
        <v>Александар Јакимовски (178)</v>
      </c>
      <c r="AX16" s="487"/>
      <c r="AY16" s="488" t="str">
        <f>IF(AT25=AT26,"",IF(AT34=AT35,AL34,IF(AT34&gt;AT35,AL34,AL35)))</f>
        <v>Tеодор Волкановски (188)</v>
      </c>
    </row>
    <row r="17" spans="3:52" ht="15.75">
      <c r="C17" s="78"/>
      <c r="D17" s="74"/>
      <c r="F17" s="181">
        <v>4</v>
      </c>
      <c r="G17" s="182" t="str">
        <f>IF(F17="","",VLOOKUP(F17,$C$3:$D$18,2,FALSE))</f>
        <v>Антонио Аврамски (144)</v>
      </c>
      <c r="H17" s="183">
        <v>11</v>
      </c>
      <c r="I17" s="183">
        <v>4</v>
      </c>
      <c r="J17" s="183">
        <v>9</v>
      </c>
      <c r="K17" s="183"/>
      <c r="L17" s="183"/>
      <c r="M17" s="183"/>
      <c r="N17" s="183"/>
      <c r="O17" s="184"/>
      <c r="Z17" s="102"/>
      <c r="AI17" s="106"/>
      <c r="AT17" s="34"/>
      <c r="AU17" s="42"/>
      <c r="AV17" s="42"/>
      <c r="AW17" s="487"/>
      <c r="AX17" s="487"/>
      <c r="AY17" s="488"/>
      <c r="AZ17" s="42"/>
    </row>
    <row r="18" spans="3:52" ht="15.75">
      <c r="C18" s="78"/>
      <c r="D18" s="74"/>
      <c r="F18" s="178">
        <v>9</v>
      </c>
      <c r="G18" s="177" t="str">
        <f>IF(F18="","",VLOOKUP(F18,$C$3:$D$18,2,FALSE))</f>
        <v>Teодор Волкановски (188)</v>
      </c>
      <c r="H18" s="101">
        <v>13</v>
      </c>
      <c r="I18" s="101">
        <v>11</v>
      </c>
      <c r="J18" s="101">
        <v>11</v>
      </c>
      <c r="K18" s="101"/>
      <c r="L18" s="101"/>
      <c r="M18" s="101"/>
      <c r="N18" s="101"/>
      <c r="O18" s="19">
        <f>IF(H18="","",SUMPRODUCT(--(H18:N18&gt;H19:N19)))</f>
        <v>3</v>
      </c>
      <c r="P18" s="102"/>
      <c r="Z18" s="102"/>
      <c r="AI18" s="106"/>
      <c r="AT18" s="34"/>
      <c r="AW18" s="487"/>
      <c r="AY18" s="488"/>
    </row>
    <row r="19" spans="3:52" ht="16.5" thickBot="1">
      <c r="C19" s="78"/>
      <c r="D19" s="74"/>
      <c r="F19" s="179"/>
      <c r="P19" s="102"/>
      <c r="Q19" s="122" t="s">
        <v>726</v>
      </c>
      <c r="R19" s="101">
        <v>5</v>
      </c>
      <c r="S19" s="101">
        <v>13</v>
      </c>
      <c r="T19" s="101">
        <v>11</v>
      </c>
      <c r="U19" s="101">
        <v>11</v>
      </c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489" t="str">
        <f>IF(AT25=AT26,"",IF(OR(AT34&gt;AT35,AT34&lt;AT35),"",AL35))</f>
        <v>Лука Стојчев (73)</v>
      </c>
    </row>
    <row r="20" spans="3:52" ht="16.5" thickBot="1">
      <c r="C20" s="78"/>
      <c r="D20" s="74"/>
      <c r="F20" s="179"/>
      <c r="P20" s="108"/>
      <c r="Q20" s="122" t="str">
        <f>G23</f>
        <v>Даниел Главевски Зхоу  (108)</v>
      </c>
      <c r="R20" s="101">
        <v>11</v>
      </c>
      <c r="S20" s="101">
        <v>11</v>
      </c>
      <c r="T20" s="101">
        <v>8</v>
      </c>
      <c r="U20" s="101">
        <v>8</v>
      </c>
      <c r="V20" s="101"/>
      <c r="W20" s="101"/>
      <c r="X20" s="101"/>
      <c r="Y20" s="19">
        <f>IF(R19="","",SUMPRODUCT(--(R19:X19&lt;R20:X20)))</f>
        <v>1</v>
      </c>
      <c r="AI20" s="106"/>
      <c r="AU20" s="49"/>
      <c r="AV20" s="49"/>
      <c r="AX20" s="502" t="s">
        <v>58</v>
      </c>
      <c r="AY20" s="489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5" t="s">
        <v>59</v>
      </c>
      <c r="AX21" s="503"/>
      <c r="AY21" s="490"/>
      <c r="AZ21" s="42"/>
    </row>
    <row r="22" spans="3:52" ht="15.75">
      <c r="C22" s="78"/>
      <c r="D22" s="74"/>
      <c r="F22" s="399"/>
      <c r="G22" s="400"/>
      <c r="H22" s="267"/>
      <c r="I22" s="267"/>
      <c r="J22" s="267"/>
      <c r="K22" s="267"/>
      <c r="L22" s="267"/>
      <c r="M22" s="267"/>
      <c r="N22" s="267"/>
      <c r="O22" s="401"/>
      <c r="AI22" s="106"/>
      <c r="AU22" s="49"/>
      <c r="AV22" s="49"/>
      <c r="AW22" s="506"/>
      <c r="AX22" s="503"/>
      <c r="AY22" s="508" t="s">
        <v>60</v>
      </c>
    </row>
    <row r="23" spans="3:52" ht="16.5" thickBot="1">
      <c r="C23" s="78"/>
      <c r="D23" s="74"/>
      <c r="F23" s="180">
        <v>7</v>
      </c>
      <c r="G23" s="177" t="str">
        <f>IF(F23="","",VLOOKUP(F23,$C$3:$D$18,2,FALSE))</f>
        <v>Даниел Главевски Зхоу  (108)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504"/>
      <c r="AY23" s="509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Дамјан Стојчев (72)</v>
      </c>
      <c r="AM25" s="101">
        <v>11</v>
      </c>
      <c r="AN25" s="101">
        <v>7</v>
      </c>
      <c r="AO25" s="101">
        <v>11</v>
      </c>
      <c r="AP25" s="101">
        <v>11</v>
      </c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Александар Јакимовски (178)</v>
      </c>
      <c r="AM26" s="101">
        <v>6</v>
      </c>
      <c r="AN26" s="101">
        <v>11</v>
      </c>
      <c r="AO26" s="101">
        <v>9</v>
      </c>
      <c r="AP26" s="101">
        <v>5</v>
      </c>
      <c r="AQ26" s="101"/>
      <c r="AR26" s="101"/>
      <c r="AS26" s="101"/>
      <c r="AT26" s="19">
        <f>IF(AM25="","",SUMPRODUCT(--(AM25:AS25&lt;AM26:AS26)))</f>
        <v>1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6" t="s">
        <v>81</v>
      </c>
      <c r="AW27" s="477"/>
      <c r="AX27" s="477"/>
      <c r="AY27" s="477"/>
      <c r="AZ27" s="478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1" t="str">
        <f>IF(AT25="","",IF(AT25&gt;AT26,AL25,AL26))</f>
        <v>Дамјан Стојчев (72)</v>
      </c>
      <c r="AY28" s="501"/>
      <c r="AZ28" s="501"/>
    </row>
    <row r="29" spans="3:52" ht="15.75">
      <c r="C29" s="73"/>
      <c r="D29" s="74"/>
      <c r="F29" s="181">
        <v>5</v>
      </c>
      <c r="G29" s="182" t="str">
        <f>IF(F29="","",VLOOKUP(F29,$C$3:$D$18,2,FALSE))</f>
        <v>Александар Јакимовски (178)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0" t="str">
        <f>IF(AT25="","",IF(AT25&lt;AT26,AL25,AL26))</f>
        <v>Александар Јакимовски (178)</v>
      </c>
      <c r="AY29" s="480"/>
      <c r="AZ29" s="480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1" t="str">
        <f>IF(AT25=AT26,"",IF(AT34=AT35,AL34,IF(AT34&gt;AT35,AL34,AL35)))</f>
        <v>Tеодор Волкановски (188)</v>
      </c>
      <c r="AY30" s="481"/>
      <c r="AZ30" s="481"/>
    </row>
    <row r="31" spans="3:52" ht="15.75">
      <c r="C31" s="73"/>
      <c r="D31" s="74"/>
      <c r="F31" s="179"/>
      <c r="P31" s="102"/>
      <c r="Q31" s="122" t="str">
        <f>G29</f>
        <v>Александар Јакимовски (178)</v>
      </c>
      <c r="R31" s="101">
        <v>9</v>
      </c>
      <c r="S31" s="101">
        <v>11</v>
      </c>
      <c r="T31" s="101">
        <v>11</v>
      </c>
      <c r="U31" s="101">
        <v>11</v>
      </c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1" t="str">
        <f>IF(AT25=AT26,"",IF(AT34=AT35,AL35,IF(AT34&lt;AT35,AL34,AL35)))</f>
        <v>Лука Стојчев (73)</v>
      </c>
      <c r="AY31" s="481"/>
      <c r="AZ31" s="481"/>
    </row>
    <row r="32" spans="3:52" ht="15.75">
      <c r="C32" s="73"/>
      <c r="D32" s="74"/>
      <c r="F32" s="179"/>
      <c r="P32" s="108"/>
      <c r="Q32" s="122" t="str">
        <f>IF(O34="","",IF(O34&gt;O35,G34,G35))</f>
        <v>Андреј Стојановски (47)</v>
      </c>
      <c r="R32" s="101">
        <v>11</v>
      </c>
      <c r="S32" s="101">
        <v>5</v>
      </c>
      <c r="T32" s="101">
        <v>9</v>
      </c>
      <c r="U32" s="101">
        <v>7</v>
      </c>
      <c r="V32" s="101"/>
      <c r="W32" s="101"/>
      <c r="X32" s="101"/>
      <c r="Y32" s="19">
        <f>IF(R31="","",SUMPRODUCT(--(R31:X31&lt;R32:X32)))</f>
        <v>1</v>
      </c>
      <c r="AI32" s="106"/>
      <c r="AK32" s="53"/>
      <c r="AU32" s="49"/>
      <c r="AV32" s="113">
        <v>5</v>
      </c>
      <c r="AW32" s="114" t="s">
        <v>80</v>
      </c>
      <c r="AX32" s="482" t="str">
        <f>IF(Y7="","",IF(Y7&lt;Y8,Q7,Q8))</f>
        <v>Томе Милев (131)</v>
      </c>
      <c r="AY32" s="482"/>
      <c r="AZ32" s="482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2" t="str">
        <f>IF(Y19="","",IF(Y19&lt;Y20,Q19,Q20))</f>
        <v>Даниел Главевски Зхоу  (108)</v>
      </c>
      <c r="AY33" s="482"/>
      <c r="AZ33" s="482"/>
    </row>
    <row r="34" spans="3:52" ht="15.75">
      <c r="C34" s="73"/>
      <c r="D34" s="74"/>
      <c r="E34">
        <v>2</v>
      </c>
      <c r="F34" s="178">
        <v>2</v>
      </c>
      <c r="G34" s="177" t="str">
        <f>IF(F34="","",VLOOKUP(F34,$C$3:$D$18,2,FALSE))</f>
        <v>Андреј Стојановски (47)</v>
      </c>
      <c r="H34" s="101">
        <v>11</v>
      </c>
      <c r="I34" s="101">
        <v>9</v>
      </c>
      <c r="J34" s="101">
        <v>12</v>
      </c>
      <c r="K34" s="101">
        <v>11</v>
      </c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Tеодор Волкановски (188)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2" t="str">
        <f>IF(Y31="","",IF(Y31&lt;Y32,Q31,Q32))</f>
        <v>Андреј Стојановски (47)</v>
      </c>
      <c r="AY34" s="482"/>
      <c r="AZ34" s="482"/>
    </row>
    <row r="35" spans="3:52">
      <c r="F35" s="180">
        <v>11</v>
      </c>
      <c r="G35" s="177" t="str">
        <f>IF(F35="","",VLOOKUP(F35,$C$3:$D$18,2,FALSE))</f>
        <v>Антонио Крстевски (177)</v>
      </c>
      <c r="H35" s="101">
        <v>7</v>
      </c>
      <c r="I35" s="101">
        <v>11</v>
      </c>
      <c r="J35" s="101">
        <v>10</v>
      </c>
      <c r="K35" s="101">
        <v>9</v>
      </c>
      <c r="L35" s="101"/>
      <c r="M35" s="101"/>
      <c r="N35" s="101"/>
      <c r="O35" s="19">
        <f>IF(H34="","",SUMPRODUCT(--(H34:N34&lt;H35:N35)))</f>
        <v>1</v>
      </c>
      <c r="Z35" s="102"/>
      <c r="AI35" s="106"/>
      <c r="AL35" s="124" t="str">
        <f>IF(AI37="","",IF(AI37&lt;AI38,AA37,AA38))</f>
        <v>Лука Стојчев (73)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3" t="str">
        <f>IF(Y43="","",IF(Y43&lt;Y44,Q43,Q44))</f>
        <v>Нико Доага (190)</v>
      </c>
      <c r="AY35" s="483"/>
      <c r="AZ35" s="483"/>
    </row>
    <row r="36" spans="3:52">
      <c r="F36" s="179"/>
      <c r="Z36" s="102"/>
      <c r="AI36" s="107"/>
      <c r="AU36" s="49"/>
      <c r="AV36" s="190"/>
      <c r="AW36" s="191"/>
      <c r="AX36" s="484"/>
      <c r="AY36" s="484"/>
      <c r="AZ36" s="484"/>
    </row>
    <row r="37" spans="3:52">
      <c r="C37" s="42"/>
      <c r="D37" s="42"/>
      <c r="F37" s="179"/>
      <c r="O37" s="34"/>
      <c r="Z37" s="102"/>
      <c r="AA37" s="121" t="str">
        <f>IF(Y31="","",IF(Y31&gt;Y32,Q31,Q32))</f>
        <v>Александар Јакимовски (178)</v>
      </c>
      <c r="AB37" s="101">
        <v>2</v>
      </c>
      <c r="AC37" s="101">
        <v>11</v>
      </c>
      <c r="AD37" s="101">
        <v>12</v>
      </c>
      <c r="AE37" s="101">
        <v>11</v>
      </c>
      <c r="AF37" s="101"/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475"/>
      <c r="AY37" s="475"/>
      <c r="AZ37" s="475"/>
    </row>
    <row r="38" spans="3:52">
      <c r="F38" s="179"/>
      <c r="O38" s="34"/>
      <c r="Z38" s="108"/>
      <c r="AA38" s="121" t="str">
        <f>IF(Y43="","",IF(Y43&gt;Y44,Q43,Q44))</f>
        <v>Лука Стојчев (73)</v>
      </c>
      <c r="AB38" s="101">
        <v>11</v>
      </c>
      <c r="AC38" s="101">
        <v>9</v>
      </c>
      <c r="AD38" s="101">
        <v>10</v>
      </c>
      <c r="AE38" s="101">
        <v>6</v>
      </c>
      <c r="AF38" s="101"/>
      <c r="AG38" s="101"/>
      <c r="AH38" s="101"/>
      <c r="AI38" s="19">
        <f>IF(AB37="","",SUMPRODUCT(--(AB37:AH37&lt;AB38:AH38)))</f>
        <v>1</v>
      </c>
      <c r="AJ38" s="41"/>
      <c r="AU38" s="49"/>
      <c r="AV38" s="189"/>
      <c r="AW38" s="75"/>
      <c r="AX38" s="475"/>
      <c r="AY38" s="475"/>
      <c r="AZ38" s="475"/>
    </row>
    <row r="39" spans="3:52">
      <c r="F39" s="179"/>
      <c r="Z39" s="102"/>
      <c r="AU39" s="49"/>
      <c r="AV39" s="189"/>
      <c r="AW39" s="75"/>
      <c r="AX39" s="475"/>
      <c r="AY39" s="475"/>
      <c r="AZ39" s="475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5"/>
      <c r="AY40" s="475"/>
      <c r="AZ40" s="475"/>
    </row>
    <row r="41" spans="3:52">
      <c r="C41" s="42"/>
      <c r="D41" s="42"/>
      <c r="E41">
        <v>10</v>
      </c>
      <c r="F41" s="181">
        <v>10</v>
      </c>
      <c r="G41" s="182" t="str">
        <f>IF(F41="","",VLOOKUP(F41,$C$3:$D$18,2,FALSE))</f>
        <v>Борис Секулов (130)</v>
      </c>
      <c r="H41" s="183">
        <v>4</v>
      </c>
      <c r="I41" s="183">
        <v>4</v>
      </c>
      <c r="J41" s="183">
        <v>11</v>
      </c>
      <c r="K41" s="183">
        <v>11</v>
      </c>
      <c r="L41" s="183"/>
      <c r="M41" s="183"/>
      <c r="N41" s="183"/>
      <c r="O41" s="184">
        <v>1</v>
      </c>
      <c r="Y41" s="34"/>
      <c r="Z41" s="102"/>
      <c r="AU41" s="49"/>
      <c r="AV41" s="189"/>
      <c r="AW41" s="75"/>
      <c r="AX41" s="475"/>
      <c r="AY41" s="475"/>
      <c r="AZ41" s="475"/>
    </row>
    <row r="42" spans="3:52" ht="15.75">
      <c r="E42">
        <v>12</v>
      </c>
      <c r="F42" s="178">
        <v>8</v>
      </c>
      <c r="G42" s="177" t="str">
        <f>IF(F42="","",VLOOKUP(F42,$C$3:$D$18,2,FALSE))</f>
        <v>Лука Стојчев (73)</v>
      </c>
      <c r="H42" s="101">
        <v>11</v>
      </c>
      <c r="I42" s="101">
        <v>11</v>
      </c>
      <c r="J42" s="101">
        <v>8</v>
      </c>
      <c r="K42" s="101">
        <v>13</v>
      </c>
      <c r="L42" s="101"/>
      <c r="M42" s="101"/>
      <c r="N42" s="101"/>
      <c r="O42" s="19">
        <v>3</v>
      </c>
      <c r="P42" s="102"/>
      <c r="Y42" s="34"/>
      <c r="Z42" s="102"/>
      <c r="AU42" s="49"/>
      <c r="AV42" s="189"/>
      <c r="AW42" s="75"/>
      <c r="AX42" s="475"/>
      <c r="AY42" s="475"/>
      <c r="AZ42" s="475"/>
    </row>
    <row r="43" spans="3:52">
      <c r="F43" s="179"/>
      <c r="P43" s="102"/>
      <c r="Q43" s="122" t="s">
        <v>727</v>
      </c>
      <c r="R43" s="101">
        <v>11</v>
      </c>
      <c r="S43" s="101">
        <v>11</v>
      </c>
      <c r="T43" s="101">
        <v>11</v>
      </c>
      <c r="U43" s="101"/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475"/>
      <c r="AY43" s="475"/>
      <c r="AZ43" s="475"/>
    </row>
    <row r="44" spans="3:52">
      <c r="F44" s="179"/>
      <c r="P44" s="108"/>
      <c r="Q44" s="122" t="str">
        <f>G47</f>
        <v>Нико Доага (190)</v>
      </c>
      <c r="R44" s="101">
        <v>8</v>
      </c>
      <c r="S44" s="101">
        <v>8</v>
      </c>
      <c r="T44" s="101">
        <v>2</v>
      </c>
      <c r="U44" s="101"/>
      <c r="V44" s="101"/>
      <c r="W44" s="101"/>
      <c r="X44" s="101"/>
      <c r="Y44" s="19">
        <f>IF(R43="","",SUMPRODUCT(--(R43:X43&lt;R44:X44)))</f>
        <v>0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9"/>
      <c r="G46" s="400" t="str">
        <f>IF(F46="","",VLOOKUP(F46,$C$3:$D$18,2,FALSE))</f>
        <v/>
      </c>
      <c r="H46" s="267"/>
      <c r="I46" s="267"/>
      <c r="J46" s="267"/>
      <c r="K46" s="267"/>
      <c r="L46" s="267"/>
      <c r="M46" s="267"/>
      <c r="N46" s="267"/>
      <c r="O46" s="401" t="str">
        <f>IF(H46="","",SUMPRODUCT(--(H46:N46&gt;H47:N47)))</f>
        <v/>
      </c>
      <c r="AU46" s="49"/>
      <c r="AV46" s="49"/>
    </row>
    <row r="47" spans="3:52">
      <c r="F47" s="180">
        <v>3</v>
      </c>
      <c r="G47" s="177" t="str">
        <f>IF(F47="","",VLOOKUP(F47,$C$3:$D$18,2,FALSE))</f>
        <v>Нико Доага (190)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5"/>
      <c r="AY50" s="475"/>
      <c r="AZ50" s="475"/>
    </row>
    <row r="51" spans="3:52">
      <c r="AW51" s="75"/>
      <c r="AX51" s="475"/>
      <c r="AY51" s="475"/>
      <c r="AZ51" s="475"/>
    </row>
    <row r="52" spans="3:52">
      <c r="AW52" s="75"/>
      <c r="AX52" s="475"/>
      <c r="AY52" s="475"/>
      <c r="AZ52" s="47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9" t="s">
        <v>61</v>
      </c>
      <c r="D1" s="486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Дамјан Стојчев (72)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Андреј Стојановски (47)</v>
      </c>
      <c r="E4">
        <v>1</v>
      </c>
      <c r="F4" s="178">
        <v>1</v>
      </c>
      <c r="G4" s="177" t="str">
        <f>IF(F4="","",VLOOKUP(F4,$C$3:$D$18,2,FALSE))</f>
        <v>Дамјан Стојчев (72)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Нико Доага (190)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Антонио Аврамски (144)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Александар Јакимовски (178)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Томе Милев (131)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Даниел Главевски Зхоу  (108)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Лука Стојчев (73)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Teодор Волкановски (188)</v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Борис Секулов (130)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Антонио Крстевски (177)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Леонид Гошев (158)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7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7" t="str">
        <f>IF(AT25="","",IF(AT25&lt;AT26,AL25,AL26))</f>
        <v/>
      </c>
      <c r="AX16" s="487"/>
      <c r="AY16" s="488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7"/>
      <c r="AX17" s="487"/>
      <c r="AY17" s="488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7"/>
      <c r="AY18" s="488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9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2" t="s">
        <v>58</v>
      </c>
      <c r="AY20" s="489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1" t="s">
        <v>59</v>
      </c>
      <c r="AX21" s="503"/>
      <c r="AY21" s="490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3"/>
      <c r="AY22" s="508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04"/>
      <c r="AY23" s="509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6" t="s">
        <v>81</v>
      </c>
      <c r="AW27" s="477"/>
      <c r="AX27" s="477"/>
      <c r="AY27" s="477"/>
      <c r="AZ27" s="478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79" t="str">
        <f>IF(AT25="","",IF(AT25&gt;AT26,AL25,AL26))</f>
        <v/>
      </c>
      <c r="AY28" s="479"/>
      <c r="AZ28" s="479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0" t="str">
        <f>IF(AT25="","",IF(AT25&lt;AT26,AL25,AL26))</f>
        <v/>
      </c>
      <c r="AY29" s="480"/>
      <c r="AZ29" s="480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1" t="str">
        <f>IF(AT25=AT26,"",IF(AT34=AT35,AL34,IF(AT34&gt;AT35,AL34,AL35)))</f>
        <v/>
      </c>
      <c r="AY30" s="481"/>
      <c r="AZ30" s="481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1" t="str">
        <f>IF(AT25=AT26,"",IF(AT34=AT35,AL35,IF(AT34&lt;AT35,AL34,AL35)))</f>
        <v/>
      </c>
      <c r="AY31" s="481"/>
      <c r="AZ31" s="481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2" t="str">
        <f>IF(Y7="","",IF(Y7&lt;Y8,Q7,Q8))</f>
        <v/>
      </c>
      <c r="AY32" s="482"/>
      <c r="AZ32" s="482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2" t="str">
        <f>IF(Y19="","",IF(Y19&lt;Y20,Q19,Q20))</f>
        <v/>
      </c>
      <c r="AY33" s="482"/>
      <c r="AZ33" s="482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2" t="str">
        <f>IF(Y31="","",IF(Y31&lt;Y32,Q31,Q32))</f>
        <v/>
      </c>
      <c r="AY34" s="482"/>
      <c r="AZ34" s="482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2" t="str">
        <f>IF(Y43="","",IF(Y43&lt;Y44,Q43,Q44))</f>
        <v/>
      </c>
      <c r="AY35" s="482"/>
      <c r="AZ35" s="48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0" t="str">
        <f>IF(O4="","",IF(O4&lt;O5,G4,G5))</f>
        <v/>
      </c>
      <c r="AY36" s="510"/>
      <c r="AZ36" s="51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0" t="str">
        <f>IF(O10="","",IF(O10&lt;O11,G10,G11))</f>
        <v/>
      </c>
      <c r="AY37" s="510"/>
      <c r="AZ37" s="51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0" t="str">
        <f>IF(O16="","",IF(O16&lt;O17,G16,G17))</f>
        <v/>
      </c>
      <c r="AY38" s="510"/>
      <c r="AZ38" s="510"/>
    </row>
    <row r="39" spans="3:52">
      <c r="F39" s="179"/>
      <c r="Z39" s="102"/>
      <c r="AU39" s="49"/>
      <c r="AV39" s="118">
        <v>9</v>
      </c>
      <c r="AW39" s="24" t="s">
        <v>20</v>
      </c>
      <c r="AX39" s="510" t="str">
        <f>IF(O22="","",IF(O22&lt;O23,G22,G23))</f>
        <v/>
      </c>
      <c r="AY39" s="510"/>
      <c r="AZ39" s="510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0" t="str">
        <f>IF(O28="","",IF(O28&lt;O29,G28,G29))</f>
        <v/>
      </c>
      <c r="AY40" s="510"/>
      <c r="AZ40" s="510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0" t="str">
        <f>IF(O34="","",IF(O34&lt;O35,G34,G35))</f>
        <v/>
      </c>
      <c r="AY41" s="510"/>
      <c r="AZ41" s="51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0" t="str">
        <f>IF(O40="","",IF(O40&lt;O41,G40,G41))</f>
        <v/>
      </c>
      <c r="AY42" s="510"/>
      <c r="AZ42" s="510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0" t="str">
        <f>IF(O46="","",IF(O46&lt;O47,G46,G47))</f>
        <v/>
      </c>
      <c r="AY43" s="510"/>
      <c r="AZ43" s="51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Андреј Стојановски (47)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5"/>
      <c r="AY50" s="475"/>
      <c r="AZ50" s="475"/>
    </row>
    <row r="51" spans="6:52">
      <c r="AW51" s="75"/>
      <c r="AX51" s="475"/>
      <c r="AY51" s="475"/>
      <c r="AZ51" s="475"/>
    </row>
    <row r="52" spans="6:52">
      <c r="AW52" s="75"/>
      <c r="AX52" s="475"/>
      <c r="AY52" s="475"/>
      <c r="AZ52" s="47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9" t="s">
        <v>61</v>
      </c>
      <c r="D1" s="486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81" t="s">
        <v>542</v>
      </c>
      <c r="F3">
        <v>1</v>
      </c>
      <c r="G3" s="63">
        <v>1</v>
      </c>
      <c r="H3" s="95" t="str">
        <f>IF(G3="","",VLOOKUP(G3,$C$3:$F$26,2,FALSE))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Стојановски (47)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Александар Јакимовски (178)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Лука Стојчев (73)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Teодор Волкановски (188)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Борис Секулов (130)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Леонид Гошев (158)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7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7" t="str">
        <f>IF(BE25="","",IF(BE25&lt;BE26,AW25,AW26))</f>
        <v/>
      </c>
      <c r="BI16" s="487"/>
      <c r="BJ16" s="488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7"/>
      <c r="BI17" s="487"/>
      <c r="BJ17" s="488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7"/>
      <c r="BJ18" s="488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9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1" t="s">
        <v>58</v>
      </c>
      <c r="BJ20" s="489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4" t="s">
        <v>59</v>
      </c>
      <c r="BI21" s="492"/>
      <c r="BJ21" s="49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5"/>
      <c r="BI22" s="492"/>
      <c r="BJ22" s="497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6"/>
      <c r="BI23" s="493"/>
      <c r="BJ23" s="498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6" t="s">
        <v>81</v>
      </c>
      <c r="BH27" s="477"/>
      <c r="BI27" s="477"/>
      <c r="BJ27" s="477"/>
      <c r="BK27" s="478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9" t="str">
        <f>IF(BE25="","",IF(BE25&gt;BE26,AW25,AW26))</f>
        <v/>
      </c>
      <c r="BJ28" s="479"/>
      <c r="BK28" s="479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0" t="str">
        <f>IF(BE25="","",IF(BE25&lt;BE26,AW25,AW26))</f>
        <v/>
      </c>
      <c r="BJ29" s="480"/>
      <c r="BK29" s="480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1" t="str">
        <f>IF(BE25=BE26,"",IF(BE34=BE35,AW34,IF(BE34&gt;BE35,AW34,AW35)))</f>
        <v/>
      </c>
      <c r="BJ30" s="481"/>
      <c r="BK30" s="481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1" t="str">
        <f>IF(BE25=BE26,"",IF(BE34=BE35,AW35,IF(BE34&lt;BE35,AW34,AW35)))</f>
        <v/>
      </c>
      <c r="BJ31" s="481"/>
      <c r="BK31" s="481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2" t="str">
        <f>IF(AJ7="","",IF(AJ7&lt;AJ8,AB7,AB8))</f>
        <v/>
      </c>
      <c r="BJ32" s="482"/>
      <c r="BK32" s="482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2" t="str">
        <f>IF(AJ19="","",IF(AJ19&lt;AJ20,AB19,AB20))</f>
        <v/>
      </c>
      <c r="BJ33" s="482"/>
      <c r="BK33" s="482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2" t="str">
        <f>IF(AJ31="","",IF(AJ31&lt;AJ32,AB31,AB32))</f>
        <v/>
      </c>
      <c r="BJ34" s="482"/>
      <c r="BK34" s="48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2" t="str">
        <f>IF(AJ43="","",IF(AJ43&lt;AJ44,AB43,AB44))</f>
        <v/>
      </c>
      <c r="BJ35" s="482"/>
      <c r="BK35" s="482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5"/>
      <c r="BJ50" s="475"/>
      <c r="BK50" s="475"/>
    </row>
    <row r="51" spans="5:63">
      <c r="H51"/>
      <c r="I51"/>
      <c r="J51"/>
      <c r="K51"/>
      <c r="L51"/>
      <c r="M51"/>
      <c r="N51"/>
      <c r="O51"/>
      <c r="P51"/>
      <c r="BH51" s="75"/>
      <c r="BI51" s="475"/>
      <c r="BJ51" s="475"/>
      <c r="BK51" s="475"/>
    </row>
    <row r="52" spans="5:63">
      <c r="H52"/>
      <c r="I52"/>
      <c r="J52"/>
      <c r="K52"/>
      <c r="L52"/>
      <c r="M52"/>
      <c r="N52"/>
      <c r="O52"/>
      <c r="P52"/>
      <c r="BH52" s="75"/>
      <c r="BI52" s="475"/>
      <c r="BJ52" s="475"/>
      <c r="BK52" s="47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9" t="s">
        <v>61</v>
      </c>
      <c r="D1" s="486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362" t="s">
        <v>536</v>
      </c>
      <c r="F3">
        <v>1</v>
      </c>
      <c r="G3" s="63">
        <v>1</v>
      </c>
      <c r="H3" s="95" t="str">
        <f>IF(G3="","",VLOOKUP(G3,$C$3:$E$26,2,FALSE))</f>
        <v>Дамјан Стојчев (72)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Стојановски (47)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Дамјан Стојчев (72)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Нико Доага (190)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Александар Јакимовски (178)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Томе Милев (131)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Лука Стојчев (73)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Teодор Волкановски (188)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Борис Секулов (130)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Леонид Гошев (158)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7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7" t="str">
        <f>IF(BE25="","",IF(BE25&lt;BE26,AW25,AW26))</f>
        <v/>
      </c>
      <c r="BI16" s="487"/>
      <c r="BJ16" s="488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7"/>
      <c r="BI17" s="487"/>
      <c r="BJ17" s="488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7"/>
      <c r="BJ18" s="488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9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1" t="s">
        <v>58</v>
      </c>
      <c r="BJ20" s="489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4" t="s">
        <v>59</v>
      </c>
      <c r="BI21" s="492"/>
      <c r="BJ21" s="490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5"/>
      <c r="BI22" s="492"/>
      <c r="BJ22" s="497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6"/>
      <c r="BI23" s="493"/>
      <c r="BJ23" s="498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Нико Доага (190)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6" t="s">
        <v>81</v>
      </c>
      <c r="BH27" s="477"/>
      <c r="BI27" s="477"/>
      <c r="BJ27" s="477"/>
      <c r="BK27" s="478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Нико Доага (190)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9" t="str">
        <f>IF(BE25="","",IF(BE25&gt;BE26,AW25,AW26))</f>
        <v/>
      </c>
      <c r="BJ28" s="479"/>
      <c r="BK28" s="479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0" t="str">
        <f>IF(BE25="","",IF(BE25&lt;BE26,AW25,AW26))</f>
        <v/>
      </c>
      <c r="BJ29" s="480"/>
      <c r="BK29" s="480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1" t="str">
        <f>IF(BE25=BE26,"",IF(BE34=BE35,AW34,IF(BE34&gt;BE35,AW34,AW35)))</f>
        <v/>
      </c>
      <c r="BJ30" s="481"/>
      <c r="BK30" s="481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1" t="str">
        <f>IF(BE25=BE26,"",IF(BE34=BE35,AW35,IF(BE34&lt;BE35,AW34,AW35)))</f>
        <v/>
      </c>
      <c r="BJ31" s="481"/>
      <c r="BK31" s="481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2" t="str">
        <f>IF(AJ7="","",IF(AJ7&lt;AJ8,AB7,AB8))</f>
        <v/>
      </c>
      <c r="BJ32" s="482"/>
      <c r="BK32" s="482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2" t="str">
        <f>IF(AJ19="","",IF(AJ19&lt;AJ20,AB19,AB20))</f>
        <v/>
      </c>
      <c r="BJ33" s="482"/>
      <c r="BK33" s="482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2" t="str">
        <f>IF(AJ31="","",IF(AJ31&lt;AJ32,AB31,AB32))</f>
        <v/>
      </c>
      <c r="BJ34" s="482"/>
      <c r="BK34" s="48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2" t="str">
        <f>IF(AJ43="","",IF(AJ43&lt;AJ44,AB43,AB44))</f>
        <v/>
      </c>
      <c r="BJ35" s="482"/>
      <c r="BK35" s="482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5"/>
      <c r="BJ50" s="475"/>
      <c r="BK50" s="475"/>
    </row>
    <row r="51" spans="5:63">
      <c r="H51"/>
      <c r="I51"/>
      <c r="J51"/>
      <c r="K51"/>
      <c r="L51"/>
      <c r="M51"/>
      <c r="N51"/>
      <c r="O51"/>
      <c r="P51"/>
      <c r="BH51" s="75"/>
      <c r="BI51" s="475"/>
      <c r="BJ51" s="475"/>
      <c r="BK51" s="475"/>
    </row>
    <row r="52" spans="5:63">
      <c r="H52"/>
      <c r="I52"/>
      <c r="J52"/>
      <c r="K52"/>
      <c r="L52"/>
      <c r="M52"/>
      <c r="N52"/>
      <c r="O52"/>
      <c r="P52"/>
      <c r="BH52" s="75"/>
      <c r="BI52" s="475"/>
      <c r="BJ52" s="475"/>
      <c r="BK52" s="47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9" t="s">
        <v>61</v>
      </c>
      <c r="D1" s="486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Дамјан Стојчев (72)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Андреј Стојановски (47)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Нико Доага (190)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Александар Јакимовски (178)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Даниел Главевски Зхоу  (108)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Лука Стојчев (73)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Teодор Волкановски (188)</v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Борис Секулов (130)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Антонио Крстевски (177)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Леонид Гошев (158)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7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7" t="str">
        <f>IF(BD33=BD34,"",IF(BD33="","",IF(BD33&lt;BD34,AV33,AV34)))</f>
        <v/>
      </c>
      <c r="BG16" s="487"/>
      <c r="BH16" s="488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7"/>
      <c r="BG17" s="487"/>
      <c r="BH17" s="488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7"/>
      <c r="BH18" s="488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9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1" t="s">
        <v>58</v>
      </c>
      <c r="BH20" s="489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2"/>
      <c r="BH21" s="490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5" t="s">
        <v>59</v>
      </c>
      <c r="BG22" s="492"/>
      <c r="BH22" s="497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6"/>
      <c r="BG23" s="493"/>
      <c r="BH23" s="498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9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9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8" t="str">
        <f>IF(BD33=BD34,"",IF(BD33="","",IF(BD33&lt;BD34,AV33,AV34)))</f>
        <v/>
      </c>
      <c r="BG42" s="519"/>
      <c r="BH42" s="519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8"/>
      <c r="BG43" s="42"/>
      <c r="BH43" s="519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8"/>
      <c r="BG44" s="42"/>
      <c r="BH44" s="519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9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1" t="s">
        <v>58</v>
      </c>
      <c r="BH46" s="489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2"/>
      <c r="BH47" s="517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5" t="s">
        <v>59</v>
      </c>
      <c r="BG48" s="492"/>
      <c r="BH48" s="497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6"/>
      <c r="BG49" s="493"/>
      <c r="BH49" s="498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6" t="s">
        <v>81</v>
      </c>
      <c r="BF51" s="477"/>
      <c r="BG51" s="477"/>
      <c r="BH51" s="477"/>
      <c r="BI51" s="47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4" t="str">
        <f>IF(BD33="","",IF(BD33&gt;BD34,AV33,AV34))</f>
        <v/>
      </c>
      <c r="BH52" s="514"/>
      <c r="BI52" s="514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0" t="str">
        <f>IF(BD33=BD34,"",IF(BD33="","",IF(BD33&lt;BD34,AV33,AV34)))</f>
        <v/>
      </c>
      <c r="BH53" s="480"/>
      <c r="BI53" s="48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1" t="str">
        <f>IF(BD33=BD34,"",IF(BD41=BD42,AV41,IF(BD41&gt;BD42,AV41,AV42)))</f>
        <v/>
      </c>
      <c r="BH54" s="481"/>
      <c r="BI54" s="48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1" t="str">
        <f>IF(BD33=BD34,"",IF(BD41=BD42,AV42,IF(BD42&lt;BD41,AV42,AV41)))</f>
        <v/>
      </c>
      <c r="BH55" s="481"/>
      <c r="BI55" s="481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2" t="str">
        <f>IF(AI9="","",IF(AI9&lt;AI10,AA9,AA10))</f>
        <v/>
      </c>
      <c r="BH56" s="482"/>
      <c r="BI56" s="482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2" t="str">
        <f>IF(AI25="","",IF(AI25&lt;AI26,AA25,AA26))</f>
        <v/>
      </c>
      <c r="BH57" s="482"/>
      <c r="BI57" s="48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2" t="str">
        <f>IF(AI41="","",IF(AI41&lt;AI42,AA41,AA42))</f>
        <v/>
      </c>
      <c r="BH58" s="482"/>
      <c r="BI58" s="482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2" t="str">
        <f>IF(AI57="","",IF(AI57&lt;AI58,AA57,AA58))</f>
        <v/>
      </c>
      <c r="BH59" s="482"/>
      <c r="BI59" s="48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0" t="str">
        <f>IF(Y5="","",IF(Y5&lt;Y6,Q5,Q6))</f>
        <v/>
      </c>
      <c r="BH60" s="510"/>
      <c r="BI60" s="510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0" t="str">
        <f>IF(Y13="","",IF(Y13&lt;Y14,Q13,Q14))</f>
        <v/>
      </c>
      <c r="BH61" s="510"/>
      <c r="BI61" s="51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0" t="str">
        <f>IF(Y21="","",IF(Y21&lt;Y22,Q21,Q22))</f>
        <v/>
      </c>
      <c r="BH62" s="510"/>
      <c r="BI62" s="51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0" t="str">
        <f>IF(Y29="","",IF(Y29&lt;Y30,Q29,Q30))</f>
        <v/>
      </c>
      <c r="BH63" s="510"/>
      <c r="BI63" s="510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0" t="str">
        <f>IF(Y37="","",IF(Y37&lt;Y38,Q37,Q38))</f>
        <v/>
      </c>
      <c r="BH64" s="510"/>
      <c r="BI64" s="51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0" t="str">
        <f>IF(Y45="","",IF(Y45&lt;Y46,Q45,Q46))</f>
        <v/>
      </c>
      <c r="BH65" s="510"/>
      <c r="BI65" s="51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0" t="str">
        <f>IF(Y53="","",IF(Y53&lt;Y54,Q53,Q54))</f>
        <v/>
      </c>
      <c r="BH66" s="510"/>
      <c r="BI66" s="51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0" t="str">
        <f>IF(Y61="","",IF(Y61&lt;Y62,Q61,Q62))</f>
        <v/>
      </c>
      <c r="BH67" s="510"/>
      <c r="BI67" s="510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9" t="s">
        <v>61</v>
      </c>
      <c r="D1" s="486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Дамјан Стојчев (72)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Андреј Стојановски (47)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Нико Доага (190)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Александар Јакимовски (178)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Томе Милев (131)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Даниел Главевски Зхоу  (108)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Лука Стојчев (73)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Teодор Волкановски (188)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Борис Секулов (130)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Антонио Крстевски (177)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Леонид Гошев (158)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VI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2022-03-05T15:39:59Z</dcterms:modified>
</cp:coreProperties>
</file>