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76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G42"/>
  <c r="D10" i="19" l="1"/>
  <c r="K10" l="1"/>
  <c r="K4"/>
  <c r="K31"/>
  <c r="K27"/>
  <c r="K19"/>
  <c r="K34"/>
  <c r="K3"/>
  <c r="K26"/>
  <c r="K9"/>
  <c r="K24"/>
  <c r="K18"/>
  <c r="K20"/>
  <c r="K11"/>
  <c r="K23"/>
  <c r="K8"/>
  <c r="K29"/>
  <c r="K22"/>
  <c r="K13"/>
  <c r="K16"/>
  <c r="K14"/>
  <c r="K30"/>
  <c r="K6"/>
  <c r="K12"/>
  <c r="K7"/>
  <c r="K21"/>
  <c r="K17"/>
  <c r="K5"/>
  <c r="K28"/>
  <c r="K32"/>
  <c r="K33"/>
  <c r="K25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5"/>
  <c r="J15"/>
  <c r="I15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4" i="19"/>
  <c r="J31"/>
  <c r="J27"/>
  <c r="J19"/>
  <c r="J34"/>
  <c r="J3"/>
  <c r="J26"/>
  <c r="J9"/>
  <c r="J24"/>
  <c r="J18"/>
  <c r="J20"/>
  <c r="J11"/>
  <c r="J23"/>
  <c r="J8"/>
  <c r="J29"/>
  <c r="J22"/>
  <c r="J13"/>
  <c r="J16"/>
  <c r="J14"/>
  <c r="J30"/>
  <c r="J6"/>
  <c r="J12"/>
  <c r="J7"/>
  <c r="J21"/>
  <c r="J17"/>
  <c r="J5"/>
  <c r="J28"/>
  <c r="J32"/>
  <c r="J33"/>
  <c r="J25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0"/>
  <c r="I10"/>
  <c r="I4"/>
  <c r="I31"/>
  <c r="I27"/>
  <c r="I19"/>
  <c r="I34"/>
  <c r="I3"/>
  <c r="I26"/>
  <c r="I9"/>
  <c r="I24"/>
  <c r="I18"/>
  <c r="I20"/>
  <c r="I11"/>
  <c r="I23"/>
  <c r="I8"/>
  <c r="I29"/>
  <c r="I22"/>
  <c r="I13"/>
  <c r="I16"/>
  <c r="I14"/>
  <c r="I30"/>
  <c r="I6"/>
  <c r="I12"/>
  <c r="I7"/>
  <c r="I21"/>
  <c r="I17"/>
  <c r="I5"/>
  <c r="I28"/>
  <c r="I32"/>
  <c r="I33"/>
  <c r="I25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K3"/>
  <c r="J3"/>
  <c r="I3"/>
  <c r="H3"/>
  <c r="H5" i="7"/>
  <c r="I3"/>
  <c r="I6"/>
  <c r="F5"/>
  <c r="AJ6"/>
  <c r="AO3" s="1"/>
  <c r="AI6"/>
  <c r="AN5" s="1"/>
  <c r="AH6"/>
  <c r="AM4" s="1"/>
  <c r="K6"/>
  <c r="J6"/>
  <c r="H6"/>
  <c r="G6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H3"/>
  <c r="K4" i="6"/>
  <c r="G6"/>
  <c r="K6"/>
  <c r="G4"/>
  <c r="AJ6"/>
  <c r="AI6"/>
  <c r="AN5" s="1"/>
  <c r="AH6"/>
  <c r="AM4" s="1"/>
  <c r="J6"/>
  <c r="AD6" s="1"/>
  <c r="F6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I3"/>
  <c r="H3"/>
  <c r="G6" i="5"/>
  <c r="H6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3" i="7" l="1"/>
  <c r="AD5"/>
  <c r="AD6"/>
  <c r="AB3"/>
  <c r="AC6"/>
  <c r="AD3" i="8"/>
  <c r="AB6" i="6"/>
  <c r="AC3"/>
  <c r="AD3" i="5"/>
  <c r="AD5"/>
  <c r="AC6"/>
  <c r="O3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Q6" s="1"/>
  <c r="AG3" i="7"/>
  <c r="AG3" i="6"/>
  <c r="P3" s="1"/>
  <c r="AP6"/>
  <c r="Q6" s="1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I6"/>
  <c r="AC6" s="1"/>
  <c r="N5" i="7"/>
  <c r="AP3"/>
  <c r="Q3" s="1"/>
  <c r="J3"/>
  <c r="N3" s="1"/>
  <c r="K3"/>
  <c r="AP6"/>
  <c r="Q6" s="1"/>
  <c r="AK6"/>
  <c r="AK3"/>
  <c r="M3"/>
  <c r="K4"/>
  <c r="AC4" s="1"/>
  <c r="G5"/>
  <c r="O5" s="1"/>
  <c r="O6"/>
  <c r="AG6"/>
  <c r="P6" s="1"/>
  <c r="AG5"/>
  <c r="P5" s="1"/>
  <c r="L4"/>
  <c r="AD4" s="1"/>
  <c r="F6"/>
  <c r="AN4"/>
  <c r="AK4" s="1"/>
  <c r="AK5"/>
  <c r="P3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O4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B6" i="7" l="1"/>
  <c r="R6" s="1"/>
  <c r="N6"/>
  <c r="N4" i="8"/>
  <c r="AC3" i="24"/>
  <c r="O5" i="6"/>
  <c r="R5" s="1"/>
  <c r="N4" i="7"/>
  <c r="O3"/>
  <c r="O5" i="8"/>
  <c r="O6"/>
  <c r="R6" s="1"/>
  <c r="AB5"/>
  <c r="O4" i="7"/>
  <c r="R4" i="24"/>
  <c r="N3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P7"/>
  <c r="AP3"/>
  <c r="Q3" s="1"/>
  <c r="AK3"/>
  <c r="R3" s="1"/>
  <c r="P7" i="7"/>
  <c r="AC3"/>
  <c r="AB5"/>
  <c r="R5" s="1"/>
  <c r="AP4"/>
  <c r="Q4" s="1"/>
  <c r="Q7" s="1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3" i="7" l="1"/>
  <c r="R4" i="8"/>
  <c r="R3" i="24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15" i="19"/>
  <c r="D45" i="36" l="1"/>
  <c r="D46"/>
  <c r="D38"/>
  <c r="D37"/>
  <c r="D4" i="1"/>
  <c r="C3" i="37" s="1"/>
  <c r="M19" i="19"/>
  <c r="M34"/>
  <c r="M3"/>
  <c r="M26"/>
  <c r="M9"/>
  <c r="M24"/>
  <c r="M18"/>
  <c r="M20"/>
  <c r="M11"/>
  <c r="M23"/>
  <c r="M8"/>
  <c r="M29"/>
  <c r="M22"/>
  <c r="M13"/>
  <c r="M16"/>
  <c r="M14"/>
  <c r="M30"/>
  <c r="M6"/>
  <c r="M12"/>
  <c r="M7"/>
  <c r="M21"/>
  <c r="M17"/>
  <c r="M5"/>
  <c r="M28"/>
  <c r="M32"/>
  <c r="M33"/>
  <c r="M25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0"/>
  <c r="M4"/>
  <c r="M31"/>
  <c r="M27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Y44" i="26"/>
  <c r="Y43"/>
  <c r="AI38"/>
  <c r="AI37"/>
  <c r="AT35"/>
  <c r="AW31" s="1"/>
  <c r="O35"/>
  <c r="AT34"/>
  <c r="AW30" s="1"/>
  <c r="O34"/>
  <c r="Y32"/>
  <c r="Y31"/>
  <c r="O29"/>
  <c r="AT26"/>
  <c r="AT25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M5"/>
  <c r="J6"/>
  <c r="AD6" s="1"/>
  <c r="H3"/>
  <c r="G4"/>
  <c r="I3"/>
  <c r="F4"/>
  <c r="L4"/>
  <c r="AD4" s="1"/>
  <c r="I6"/>
  <c r="M4"/>
  <c r="H6"/>
  <c r="G5"/>
  <c r="J3"/>
  <c r="F5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O5" l="1"/>
  <c r="AC4"/>
  <c r="N5"/>
  <c r="AB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<sst xmlns="http://schemas.openxmlformats.org/spreadsheetml/2006/main" count="2657" uniqueCount="818">
  <si>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</si>
  <si>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</si>
  <si>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</si>
  <si>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</si>
  <si>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</si>
  <si>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</si>
  <si>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</si>
  <si>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</si>
  <si>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</si>
  <si>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</si>
  <si>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</si>
  <si>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</si>
  <si>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</si>
  <si>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</si>
  <si>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</si>
  <si>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</si>
  <si>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</si>
  <si>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</si>
  <si>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</si>
  <si>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</si>
  <si>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</si>
  <si>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</si>
  <si>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</si>
  <si>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</si>
  <si>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</si>
  <si>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</si>
  <si>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</si>
  <si>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</si>
  <si>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</si>
  <si>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</si>
  <si>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</si>
  <si>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</si>
  <si>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</si>
  <si>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</si>
  <si>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</si>
  <si>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</si>
  <si>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</si>
  <si>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</si>
  <si>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</si>
  <si>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</si>
  <si>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</si>
  <si>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</si>
  <si>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</si>
  <si>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</si>
  <si>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</si>
  <si>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</si>
  <si>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</si>
  <si>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</si>
  <si>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</si>
  <si>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</si>
  <si>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</si>
  <si>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</si>
  <si>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</si>
  <si>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</si>
  <si>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</si>
  <si>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</si>
  <si>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</si>
  <si>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</si>
  <si>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</si>
  <si>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</si>
  <si>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</si>
  <si>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</si>
  <si>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</si>
  <si>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</si>
  <si>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</si>
  <si>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</si>
  <si>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</si>
  <si>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</si>
  <si>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</si>
  <si>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</si>
  <si>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</si>
  <si>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</si>
  <si>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</si>
  <si>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</si>
  <si>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</si>
  <si>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</si>
  <si>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</si>
  <si>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</si>
  <si>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</si>
  <si>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</si>
  <si>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</si>
  <si>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</si>
  <si>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</si>
  <si>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</si>
  <si>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</si>
  <si>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</si>
  <si>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</si>
  <si>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</si>
  <si>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</si>
  <si>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</si>
  <si>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</si>
  <si>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</si>
  <si>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</si>
  <si>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</si>
  <si>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</si>
  <si>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</si>
  <si>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</si>
  <si>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</si>
  <si>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</si>
  <si>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</si>
  <si>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</si>
  <si>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</si>
  <si>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</si>
  <si>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</si>
  <si>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</si>
  <si>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</si>
  <si>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</si>
  <si>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</si>
  <si>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</si>
  <si>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</si>
  <si>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</si>
  <si>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</si>
  <si>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</si>
  <si>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</si>
  <si>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</si>
  <si>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</si>
  <si>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</si>
  <si>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</si>
  <si>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</si>
  <si>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</si>
  <si>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</si>
  <si>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</si>
  <si>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</si>
  <si>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</si>
  <si>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</si>
  <si>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</si>
  <si>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</si>
  <si>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</si>
  <si>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</si>
  <si>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</si>
  <si>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</si>
  <si>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</si>
  <si>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</si>
  <si>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</si>
  <si>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</si>
  <si>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</si>
  <si>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</si>
  <si>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</si>
  <si>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</si>
  <si>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</si>
  <si>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</si>
  <si>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</si>
  <si>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</si>
  <si>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</si>
  <si>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</si>
  <si>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</si>
  <si>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</si>
  <si>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</si>
  <si>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</si>
  <si>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</si>
  <si>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</si>
  <si>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</si>
  <si>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</si>
  <si>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</si>
  <si>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</si>
  <si>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</si>
  <si>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</si>
  <si>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</si>
  <si>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</si>
  <si>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</si>
  <si>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</si>
  <si>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</si>
  <si>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</si>
  <si>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</si>
  <si>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</si>
  <si>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</si>
  <si>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</si>
  <si>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</si>
  <si>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</si>
  <si>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</si>
  <si>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</si>
  <si>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</si>
  <si>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</si>
  <si>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</si>
  <si>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</si>
  <si>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</si>
  <si>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</si>
  <si>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</si>
  <si>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</si>
  <si>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</si>
  <si>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</si>
  <si>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</si>
  <si>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</si>
  <si>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</si>
  <si>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</si>
  <si>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</si>
  <si>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</si>
  <si>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</si>
  <si>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</si>
  <si>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</si>
  <si>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</si>
  <si>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</si>
  <si>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</si>
  <si>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</si>
  <si>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</si>
  <si>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</si>
  <si>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</si>
  <si>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</si>
  <si>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</si>
  <si>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</si>
  <si>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</si>
  <si>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</si>
  <si>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</si>
  <si>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</si>
  <si>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</si>
  <si>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</si>
  <si>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</si>
  <si>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</si>
  <si>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</si>
  <si>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</si>
  <si>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</si>
  <si>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</si>
  <si>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</si>
  <si>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</si>
  <si>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</si>
  <si>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</si>
  <si>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</si>
  <si>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</si>
  <si>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</si>
  <si>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</si>
  <si>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</si>
  <si>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</si>
  <si>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</si>
  <si>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</si>
  <si>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</si>
  <si>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</si>
  <si>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</si>
  <si>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</si>
  <si>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</si>
  <si>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</si>
  <si>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</si>
  <si>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</si>
  <si>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</si>
  <si>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</si>
  <si>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</si>
  <si>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</si>
  <si>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</si>
  <si>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</si>
  <si>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</si>
  <si>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</si>
  <si>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</si>
  <si>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</si>
  <si>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</si>
  <si>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</si>
  <si>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</si>
  <si>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</si>
  <si>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</si>
  <si>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</si>
  <si>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</si>
  <si>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</si>
  <si>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</si>
  <si>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</si>
  <si>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</si>
  <si>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</si>
  <si>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</si>
  <si>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</si>
  <si>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</si>
  <si>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</si>
  <si>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</si>
  <si>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</si>
  <si>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</si>
  <si>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</si>
  <si>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</si>
  <si>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</si>
  <si>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</si>
  <si>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</si>
  <si>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</si>
  <si>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</si>
  <si>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</si>
  <si>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</si>
  <si>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</si>
  <si>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</si>
  <si>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</si>
  <si>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</si>
  <si>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</si>
  <si>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</si>
  <si>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</si>
  <si>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</si>
  <si>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</si>
  <si>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</si>
  <si>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</si>
  <si>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</si>
  <si>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</si>
  <si>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</si>
  <si>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</si>
  <si>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</si>
  <si>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</si>
  <si>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</si>
  <si>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</si>
  <si>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</si>
  <si>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</si>
  <si>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</si>
  <si>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</si>
  <si>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</si>
  <si>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</si>
  <si>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</si>
  <si>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</si>
  <si>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</si>
  <si>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</si>
  <si>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</si>
  <si>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</si>
  <si>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</si>
  <si>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</si>
  <si>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</si>
  <si>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</si>
  <si>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</si>
  <si>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</si>
  <si>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</si>
  <si>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</si>
  <si>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</si>
  <si>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</si>
  <si>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</si>
  <si>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</si>
  <si>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</si>
  <si>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</si>
  <si>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</si>
  <si>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</si>
  <si>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</si>
  <si>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</si>
  <si>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</si>
  <si>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</si>
  <si>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</si>
  <si>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</si>
  <si>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</si>
  <si>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</si>
  <si>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</si>
  <si>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</si>
  <si>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</si>
  <si>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</si>
  <si>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</si>
  <si>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</si>
  <si>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</si>
  <si>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</si>
  <si>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</si>
  <si>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</si>
  <si>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</si>
  <si>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</si>
  <si>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</si>
  <si>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</si>
  <si>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</si>
  <si>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</si>
  <si>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</si>
  <si>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</si>
  <si>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</si>
  <si>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</si>
  <si>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</si>
  <si>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</si>
  <si>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</si>
  <si>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</si>
  <si>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</si>
  <si>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</si>
  <si>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</si>
  <si>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</si>
  <si>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</si>
  <si>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</si>
  <si>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</si>
  <si>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</si>
  <si>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</si>
  <si>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</si>
  <si>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</si>
  <si>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</si>
  <si>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</si>
  <si>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</si>
  <si>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</si>
  <si>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</si>
  <si>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</si>
  <si>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</si>
  <si>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</si>
  <si>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</si>
  <si>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</si>
  <si>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</si>
  <si>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</si>
  <si>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</si>
  <si>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</si>
  <si>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</si>
  <si>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</si>
  <si>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</si>
  <si>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</si>
  <si>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</si>
  <si>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</si>
  <si>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</si>
  <si>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</si>
  <si>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</si>
  <si>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</si>
  <si>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</si>
  <si>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</si>
  <si>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</si>
  <si>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</si>
  <si>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</si>
  <si>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</si>
  <si>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</si>
  <si>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</si>
  <si>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</si>
  <si>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</si>
  <si>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</si>
  <si>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</si>
  <si>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</si>
  <si>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</si>
  <si>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</si>
  <si>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</si>
  <si>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</si>
  <si>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</si>
  <si>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</si>
  <si>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</si>
  <si>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</si>
  <si>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</si>
  <si>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</si>
  <si>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</si>
  <si>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</si>
  <si>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</si>
  <si>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</si>
  <si>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</si>
  <si>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</si>
  <si>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</si>
  <si>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</si>
  <si>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</si>
  <si>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</si>
  <si>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</si>
  <si>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</si>
  <si>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</si>
  <si>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</si>
  <si>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</si>
  <si>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</si>
  <si>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</si>
  <si>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</si>
  <si>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</si>
  <si>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</si>
  <si>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</si>
  <si>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</si>
  <si>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</si>
  <si>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</si>
  <si>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</si>
  <si>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</si>
  <si>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</si>
  <si>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</si>
  <si>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</si>
  <si>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</si>
  <si>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</si>
  <si>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</si>
  <si>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</si>
  <si>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</si>
  <si>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</si>
  <si>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</si>
  <si>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</si>
  <si>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</si>
  <si>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</si>
  <si>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</si>
  <si>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</si>
  <si>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</si>
  <si>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</si>
  <si>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</si>
  <si>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</si>
  <si>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</si>
  <si>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</si>
  <si>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</si>
  <si>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</si>
  <si>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</si>
  <si>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</si>
  <si>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</si>
  <si>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</si>
  <si>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</si>
  <si>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</si>
  <si>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</si>
  <si>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</si>
  <si>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</si>
  <si>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</si>
  <si>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</si>
  <si>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</si>
  <si>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</si>
  <si>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</si>
  <si>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</si>
  <si>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</si>
  <si>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</si>
  <si>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</si>
  <si>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</si>
  <si>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</si>
  <si>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</si>
  <si>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</si>
  <si>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</si>
  <si>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</si>
  <si>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</si>
  <si>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</si>
  <si>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</si>
  <si>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</si>
  <si>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</si>
  <si>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</si>
  <si>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</si>
  <si>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</si>
  <si>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</si>
  <si>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</si>
  <si>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</si>
  <si>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</si>
  <si>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</si>
  <si>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</si>
  <si>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</si>
  <si>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</si>
  <si>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</si>
  <si>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</si>
  <si>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</si>
  <si>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</si>
  <si>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</si>
  <si>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</si>
  <si>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</si>
  <si>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</si>
  <si>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</si>
  <si>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</si>
  <si>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</si>
  <si>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</si>
  <si>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</si>
  <si>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</si>
  <si>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</si>
  <si>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</si>
  <si>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</si>
  <si>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</si>
  <si>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</si>
  <si>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</si>
  <si>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</si>
  <si>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</si>
  <si>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</si>
  <si>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</si>
  <si>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</si>
  <si>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</si>
  <si>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</si>
  <si>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</si>
  <si>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</si>
  <si>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</si>
  <si>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</si>
  <si>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</si>
  <si>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</si>
  <si>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</si>
  <si>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</si>
  <si>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</si>
  <si>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</si>
  <si>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</si>
  <si>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</si>
  <si>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</si>
  <si>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</si>
  <si>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</si>
  <si>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</si>
  <si>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</si>
  <si>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</si>
  <si>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</si>
  <si>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</si>
  <si>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</si>
  <si>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</si>
  <si>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</si>
  <si>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</si>
  <si>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</si>
  <si>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</si>
  <si>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</si>
  <si>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</si>
  <si>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</si>
  <si>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</si>
  <si>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</si>
  <si>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</si>
  <si>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</si>
  <si>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</si>
  <si>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</si>
  <si>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</si>
  <si>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</si>
  <si>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</si>
  <si>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</si>
  <si>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</si>
  <si>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</si>
  <si>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</si>
  <si>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</si>
  <si>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</si>
  <si>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</si>
  <si>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</si>
  <si>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</si>
  <si>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</si>
  <si>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</si>
  <si>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</si>
  <si>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</si>
  <si>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</si>
  <si>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</si>
  <si>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</si>
  <si>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</si>
  <si>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</si>
  <si>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</si>
  <si>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</si>
  <si>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</si>
  <si>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</si>
  <si>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</si>
  <si>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</si>
  <si>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</si>
  <si>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</si>
  <si>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</si>
  <si>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</si>
  <si>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</si>
  <si>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</si>
  <si>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</si>
  <si>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</si>
  <si>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</si>
  <si>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</si>
  <si>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</si>
  <si>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</si>
  <si>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</si>
  <si>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</si>
  <si>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</si>
  <si>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</si>
  <si>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</si>
  <si>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</si>
  <si>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</si>
  <si>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</si>
  <si>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</si>
  <si>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</si>
  <si>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</si>
  <si>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</si>
  <si>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</si>
  <si>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</si>
  <si>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</si>
  <si>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</si>
  <si>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</si>
  <si>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</si>
  <si>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</si>
  <si>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</si>
  <si>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</si>
  <si>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</si>
  <si>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</si>
  <si>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</si>
  <si>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</si>
  <si>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</si>
  <si>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</si>
  <si>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</si>
  <si>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</si>
  <si>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</si>
  <si>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</si>
  <si>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</si>
  <si>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</si>
  <si>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</si>
  <si>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</si>
  <si>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</si>
  <si>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</si>
  <si>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</si>
  <si>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</si>
  <si>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</si>
  <si>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</si>
  <si>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</si>
  <si>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</si>
  <si>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</si>
  <si>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</si>
  <si>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</si>
  <si>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</si>
  <si>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</si>
  <si>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</si>
  <si>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</si>
  <si>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</si>
  <si>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</si>
  <si>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</si>
  <si>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</si>
  <si>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</si>
  <si>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</si>
  <si>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</si>
  <si>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</si>
  <si>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</si>
  <si>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</si>
  <si>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</si>
  <si>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</si>
  <si>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</si>
  <si>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</si>
  <si>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</si>
  <si>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</si>
  <si>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</si>
  <si>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</si>
  <si>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</si>
  <si>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</si>
  <si>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</si>
  <si>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</si>
  <si>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</si>
  <si>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</si>
  <si>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</si>
  <si>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</si>
  <si>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</si>
  <si>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</si>
  <si>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</si>
  <si>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</si>
  <si>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</si>
  <si>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</si>
  <si>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</si>
  <si>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</si>
  <si>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</si>
  <si>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</si>
  <si>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</si>
  <si>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</si>
  <si>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</si>
  <si>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</si>
  <si>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</si>
  <si>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</si>
  <si>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</si>
  <si>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</si>
  <si>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</si>
  <si>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</si>
  <si>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</si>
  <si>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</si>
  <si>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</si>
  <si>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</si>
  <si>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</si>
  <si>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</si>
  <si>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</si>
  <si>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</si>
  <si>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</si>
  <si>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</si>
  <si>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</si>
  <si>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</si>
  <si>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</si>
  <si>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</si>
  <si>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</si>
  <si>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</si>
  <si>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</si>
  <si>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</si>
  <si>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</si>
  <si>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</si>
  <si>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</si>
  <si>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</si>
  <si>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</si>
  <si>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</si>
  <si>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</si>
  <si>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</si>
  <si>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</si>
  <si>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</si>
  <si>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</si>
  <si>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</si>
  <si>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</si>
  <si>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</si>
  <si>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</si>
  <si>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</si>
  <si>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</si>
  <si>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</si>
  <si>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</si>
  <si>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</si>
  <si>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</si>
  <si>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</si>
  <si>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</si>
  <si>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</si>
  <si>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</si>
  <si>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</si>
  <si>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</si>
  <si>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</si>
  <si>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</si>
  <si>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</si>
  <si>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</si>
  <si>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</si>
  <si>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</si>
  <si>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</si>
  <si>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</si>
  <si>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</si>
  <si>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</si>
  <si>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</si>
  <si>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</si>
  <si>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</si>
  <si>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</si>
  <si>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</si>
  <si>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</si>
  <si>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</si>
  <si>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</si>
  <si>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</si>
  <si>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</si>
  <si>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</si>
  <si>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</si>
  <si>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</si>
  <si>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</si>
  <si>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</si>
  <si>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</si>
  <si>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</si>
  <si>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</si>
  <si>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</si>
  <si>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</si>
  <si>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</si>
  <si>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</si>
  <si>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</si>
  <si>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</si>
  <si>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</si>
  <si>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</si>
  <si>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</si>
  <si>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</si>
  <si>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</si>
  <si>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</si>
  <si>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</si>
  <si>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</si>
  <si>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</si>
  <si>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</si>
  <si>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</si>
  <si>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</si>
  <si>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</si>
  <si>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</si>
  <si>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</si>
  <si>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</si>
  <si>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</si>
  <si>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</si>
  <si>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</si>
  <si>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</si>
  <si>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</si>
  <si>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</si>
  <si>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</si>
  <si>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</si>
  <si>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</si>
  <si>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</si>
  <si>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</si>
  <si>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</si>
  <si>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</si>
  <si>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</si>
  <si>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</si>
  <si>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</si>
  <si>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</si>
  <si>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</si>
  <si>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</si>
  <si>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</si>
  <si>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</si>
  <si>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</si>
  <si>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</si>
  <si>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</si>
  <si>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</si>
  <si>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</si>
  <si>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</si>
  <si>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</si>
  <si>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</si>
  <si>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Томе Милев (131)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</si>
</sst>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V14" sqref="V14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3" t="s">
        <v>123</v>
      </c>
      <c r="C1" s="404"/>
      <c r="D1" s="404"/>
      <c r="E1" s="404"/>
      <c r="F1" s="405" t="s">
        <v>121</v>
      </c>
      <c r="G1" s="406"/>
      <c r="H1" s="406"/>
      <c r="I1" s="406"/>
      <c r="J1" s="406"/>
      <c r="K1" s="406"/>
      <c r="L1" s="406"/>
      <c r="M1" s="406"/>
      <c r="N1" s="406"/>
      <c r="O1" s="407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8" t="s">
        <v>62</v>
      </c>
      <c r="C3" s="308">
        <v>1</v>
      </c>
      <c r="D3" s="334" t="str">
        <f>IF(ISERROR(VLOOKUP(C3,$G$3:$I$66,3,FALSE)),"",(VLOOKUP(C3,$G$3:$I$66,3,FALSE)))</f>
        <v>Александар Јакимовски (178)</v>
      </c>
      <c r="E3" s="335" t="str">
        <f>IF(D3="","",INDEX($J$3:$J$42,MATCH(C3,$G$3:$G$42,0)))</f>
        <v>Крива Паланка</v>
      </c>
      <c r="F3" s="340">
        <v>8</v>
      </c>
      <c r="G3" s="289">
        <v>1</v>
      </c>
      <c r="H3" s="46">
        <v>178</v>
      </c>
      <c r="I3" s="341" t="str">
        <f>IF(ISERROR(VLOOKUP(H3,Baza!A:C,2,FALSE)&amp;" "&amp;"("&amp;H3&amp;")"),"",(VLOOKUP(H3,Baza!A:C,2,FALSE)&amp;" "&amp;"("&amp;H3&amp;")"))</f>
        <v>Александар Јакимовски (178)</v>
      </c>
      <c r="J3" s="341" t="str">
        <f>IF(ISERROR(VLOOKUP(H3,Baza!A:C,3,FALSE)),"",(VLOOKUP(H3,Baza!A:C,3,FALSE)))</f>
        <v>Крива Паланка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8</v>
      </c>
      <c r="O3" s="289">
        <v>805</v>
      </c>
    </row>
    <row r="4" spans="2:17">
      <c r="B4" s="409"/>
      <c r="C4" s="306">
        <v>2</v>
      </c>
      <c r="D4" s="328" t="str">
        <f t="shared" ref="D4:D67" si="1">IF(ISERROR(VLOOKUP(C4,$G$3:$I$66,3,FALSE)),"",(VLOOKUP(C4,$G$3:$I$66,3,FALSE)))</f>
        <v>Антонио Вељановски (261)</v>
      </c>
      <c r="E4" s="329" t="str">
        <f t="shared" ref="E4:E66" si="2">IF(D4="","",INDEX($J$3:$J$42,MATCH(C4,$G$3:$G$42,0)))</f>
        <v>Пелагонија</v>
      </c>
      <c r="F4" s="325">
        <v>3</v>
      </c>
      <c r="G4" s="281">
        <v>5</v>
      </c>
      <c r="H4" s="46">
        <v>190</v>
      </c>
      <c r="I4" s="292" t="str">
        <f>IF(ISERROR(VLOOKUP(H4,Baza!A:C,2,FALSE)&amp;" "&amp;"("&amp;H4&amp;")"),"",(VLOOKUP(H4,Baza!A:C,2,FALSE)&amp;" "&amp;"("&amp;H4&amp;")"))</f>
        <v>Нико Доага (190)</v>
      </c>
      <c r="J4" s="292" t="str">
        <f>IF(ISERROR(VLOOKUP(H4,Baza!A:C,3,FALSE)),"",(VLOOKUP(H4,Baza!A:C,3,FALSE)))</f>
        <v>Младост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3</v>
      </c>
      <c r="O4" s="280">
        <v>636</v>
      </c>
    </row>
    <row r="5" spans="2:17">
      <c r="B5" s="409"/>
      <c r="C5" s="306">
        <v>3</v>
      </c>
      <c r="D5" s="328" t="str">
        <f t="shared" si="1"/>
        <v>Кристијан Каламадевски (347)</v>
      </c>
      <c r="E5" s="329" t="str">
        <f t="shared" si="2"/>
        <v>Берово 2</v>
      </c>
      <c r="F5" s="325">
        <v>28</v>
      </c>
      <c r="G5" s="281">
        <v>9</v>
      </c>
      <c r="H5" s="46">
        <v>108</v>
      </c>
      <c r="I5" s="292" t="str">
        <f>IF(ISERROR(VLOOKUP(H5,Baza!A:C,2,FALSE)&amp;" "&amp;"("&amp;H5&amp;")"),"",(VLOOKUP(H5,Baza!A:C,2,FALSE)&amp;" "&amp;"("&amp;H5&amp;")"))</f>
        <v>Даниел Главевски Зхоу  (108)</v>
      </c>
      <c r="J5" s="292" t="str">
        <f>IF(ISERROR(VLOOKUP(H5,Baza!A:C,3,FALSE)),"",(VLOOKUP(H5,Baza!A:C,3,FALSE)))</f>
        <v>Пелагонија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28</v>
      </c>
      <c r="O5" s="280">
        <v>626</v>
      </c>
    </row>
    <row r="6" spans="2:17" ht="16.5" thickBot="1">
      <c r="B6" s="410"/>
      <c r="C6" s="309">
        <v>4</v>
      </c>
      <c r="D6" s="332" t="str">
        <f t="shared" si="1"/>
        <v/>
      </c>
      <c r="E6" s="333" t="str">
        <f t="shared" si="2"/>
        <v/>
      </c>
      <c r="F6" s="325">
        <v>23</v>
      </c>
      <c r="G6" s="281">
        <v>13</v>
      </c>
      <c r="H6" s="402">
        <v>73</v>
      </c>
      <c r="I6" s="292" t="str">
        <f>IF(ISERROR(VLOOKUP(H6,Baza!A:C,2,FALSE)&amp;" "&amp;"("&amp;H6&amp;")"),"",(VLOOKUP(H6,Baza!A:C,2,FALSE)&amp;" "&amp;"("&amp;H6&amp;")"))</f>
        <v>Лука Стојчев (73)</v>
      </c>
      <c r="J6" s="292" t="str">
        <f>IF(ISERROR(VLOOKUP(H6,Baza!A:C,3,FALSE)),"",(VLOOKUP(H6,Baza!A:C,3,FALSE)))</f>
        <v>Шампион ФА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23</v>
      </c>
      <c r="O6" s="280">
        <v>623</v>
      </c>
    </row>
    <row r="7" spans="2:17">
      <c r="B7" s="411" t="s">
        <v>63</v>
      </c>
      <c r="C7" s="305">
        <v>5</v>
      </c>
      <c r="D7" s="326" t="str">
        <f t="shared" si="1"/>
        <v>Нико Доага (190)</v>
      </c>
      <c r="E7" s="327" t="str">
        <f t="shared" si="2"/>
        <v>Младост</v>
      </c>
      <c r="F7" s="325">
        <v>25</v>
      </c>
      <c r="G7" s="281">
        <v>17</v>
      </c>
      <c r="H7" s="402">
        <v>130</v>
      </c>
      <c r="I7" s="292" t="str">
        <f>IF(ISERROR(VLOOKUP(H7,Baza!A:C,2,FALSE)&amp;" "&amp;"("&amp;H7&amp;")"),"",(VLOOKUP(H7,Baza!A:C,2,FALSE)&amp;" "&amp;"("&amp;H7&amp;")"))</f>
        <v>Борис Секулов (130)</v>
      </c>
      <c r="J7" s="292" t="str">
        <f>IF(ISERROR(VLOOKUP(H7,Baza!A:C,3,FALSE)),"",(VLOOKUP(H7,Baza!A:C,3,FALSE)))</f>
        <v>Астраион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25</v>
      </c>
      <c r="O7" s="280">
        <v>474</v>
      </c>
    </row>
    <row r="8" spans="2:17">
      <c r="B8" s="409"/>
      <c r="C8" s="306">
        <v>6</v>
      </c>
      <c r="D8" s="328" t="str">
        <f t="shared" si="1"/>
        <v>Филип Ангела (299)</v>
      </c>
      <c r="E8" s="329" t="str">
        <f t="shared" si="2"/>
        <v>Пелагонија</v>
      </c>
      <c r="F8" s="325">
        <v>16</v>
      </c>
      <c r="G8" s="281">
        <v>21</v>
      </c>
      <c r="H8" s="400">
        <v>203</v>
      </c>
      <c r="I8" s="292" t="str">
        <f>IF(ISERROR(VLOOKUP(H8,Baza!A:C,2,FALSE)&amp;" "&amp;"("&amp;H8&amp;")"),"",(VLOOKUP(H8,Baza!A:C,2,FALSE)&amp;" "&amp;"("&amp;H8&amp;")"))</f>
        <v>Андреј Васевски (203)</v>
      </c>
      <c r="J8" s="292" t="str">
        <f>IF(ISERROR(VLOOKUP(H8,Baza!A:C,3,FALSE)),"",(VLOOKUP(H8,Baza!A:C,3,FALSE)))</f>
        <v>Куманово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16</v>
      </c>
      <c r="O8" s="280">
        <v>389</v>
      </c>
    </row>
    <row r="9" spans="2:17">
      <c r="B9" s="409"/>
      <c r="C9" s="306">
        <v>7</v>
      </c>
      <c r="D9" s="328" t="str">
        <f t="shared" si="1"/>
        <v>Лука Огненоски (15)</v>
      </c>
      <c r="E9" s="329" t="str">
        <f t="shared" si="2"/>
        <v>Младост 96</v>
      </c>
      <c r="F9" s="325">
        <v>10</v>
      </c>
      <c r="G9" s="281">
        <v>22</v>
      </c>
      <c r="H9" s="402">
        <v>47</v>
      </c>
      <c r="I9" s="292" t="str">
        <f>IF(ISERROR(VLOOKUP(H9,Baza!A:C,2,FALSE)&amp;" "&amp;"("&amp;H9&amp;")"),"",(VLOOKUP(H9,Baza!A:C,2,FALSE)&amp;" "&amp;"("&amp;H9&amp;")"))</f>
        <v>Андреј Стојановски (47)</v>
      </c>
      <c r="J9" s="292" t="str">
        <f>IF(ISERROR(VLOOKUP(H9,Baza!A:C,3,FALSE)),"",(VLOOKUP(H9,Baza!A:C,3,FALSE)))</f>
        <v>Крива Паланка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10</v>
      </c>
      <c r="O9" s="280">
        <v>165</v>
      </c>
      <c r="Q9" s="373"/>
    </row>
    <row r="10" spans="2:17" ht="16.5" thickBot="1">
      <c r="B10" s="412"/>
      <c r="C10" s="307">
        <v>8</v>
      </c>
      <c r="D10" s="330" t="str">
        <f t="shared" si="1"/>
        <v/>
      </c>
      <c r="E10" s="331" t="str">
        <f t="shared" si="2"/>
        <v/>
      </c>
      <c r="F10" s="325">
        <v>2</v>
      </c>
      <c r="G10" s="281">
        <v>18</v>
      </c>
      <c r="H10" s="402">
        <v>404</v>
      </c>
      <c r="I10" s="292" t="str">
        <f>IF(ISERROR(VLOOKUP(H10,Baza!A:C,2,FALSE)&amp;" "&amp;"("&amp;H10&amp;")"),"",(VLOOKUP(H10,Baza!A:C,2,FALSE)&amp;" "&amp;"("&amp;H10&amp;")"))</f>
        <v>Љупчо Треновски (404)</v>
      </c>
      <c r="J10" s="292" t="str">
        <f>IF(ISERROR(VLOOKUP(H10,Baza!A:C,3,FALSE)),"",(VLOOKUP(H10,Baza!A:C,3,FALSE)))</f>
        <v>Берово 2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2</v>
      </c>
      <c r="O10" s="280">
        <v>165</v>
      </c>
      <c r="Q10" s="373"/>
    </row>
    <row r="11" spans="2:17">
      <c r="B11" s="408" t="s">
        <v>64</v>
      </c>
      <c r="C11" s="308">
        <v>9</v>
      </c>
      <c r="D11" s="334" t="str">
        <f t="shared" si="1"/>
        <v>Даниел Главевски Зхоу  (108)</v>
      </c>
      <c r="E11" s="335" t="str">
        <f t="shared" si="2"/>
        <v>Пелагонија</v>
      </c>
      <c r="F11" s="325">
        <v>14</v>
      </c>
      <c r="G11" s="281">
        <v>14</v>
      </c>
      <c r="H11" s="402">
        <v>144</v>
      </c>
      <c r="I11" s="292" t="str">
        <f>IF(ISERROR(VLOOKUP(H11,Baza!A:C,2,FALSE)&amp;" "&amp;"("&amp;H11&amp;")"),"",(VLOOKUP(H11,Baza!A:C,2,FALSE)&amp;" "&amp;"("&amp;H11&amp;")"))</f>
        <v>Антонио Аврамски (144)</v>
      </c>
      <c r="J11" s="292" t="str">
        <f>IF(ISERROR(VLOOKUP(H11,Baza!A:C,3,FALSE)),"",(VLOOKUP(H11,Baza!A:C,3,FALSE)))</f>
        <v>Берово 2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14</v>
      </c>
      <c r="O11" s="280">
        <v>165</v>
      </c>
      <c r="Q11" s="373"/>
    </row>
    <row r="12" spans="2:17">
      <c r="B12" s="409"/>
      <c r="C12" s="306">
        <v>10</v>
      </c>
      <c r="D12" s="328" t="str">
        <f t="shared" si="1"/>
        <v>Томе Милев (131)</v>
      </c>
      <c r="E12" s="329" t="str">
        <f t="shared" si="2"/>
        <v>Астраион</v>
      </c>
      <c r="F12" s="325">
        <v>24</v>
      </c>
      <c r="G12" s="281">
        <v>6</v>
      </c>
      <c r="H12" s="402">
        <v>299</v>
      </c>
      <c r="I12" s="292" t="str">
        <f>IF(ISERROR(VLOOKUP(H12,Baza!A:C,2,FALSE)&amp;" "&amp;"("&amp;H12&amp;")"),"",(VLOOKUP(H12,Baza!A:C,2,FALSE)&amp;" "&amp;"("&amp;H12&amp;")"))</f>
        <v>Филип Ангела (299)</v>
      </c>
      <c r="J12" s="292" t="str">
        <f>IF(ISERROR(VLOOKUP(H12,Baza!A:C,3,FALSE)),"",(VLOOKUP(H12,Baza!A:C,3,FALSE)))</f>
        <v>Пелагонија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24</v>
      </c>
      <c r="O12" s="280">
        <v>165</v>
      </c>
      <c r="Q12" s="373"/>
    </row>
    <row r="13" spans="2:17">
      <c r="B13" s="409"/>
      <c r="C13" s="306">
        <v>11</v>
      </c>
      <c r="D13" s="328" t="str">
        <f t="shared" si="1"/>
        <v>Петар Мукаетов (364)</v>
      </c>
      <c r="E13" s="329" t="str">
        <f t="shared" si="2"/>
        <v>Кавадарци</v>
      </c>
      <c r="F13" s="325">
        <v>19</v>
      </c>
      <c r="G13" s="281">
        <v>10</v>
      </c>
      <c r="H13" s="402">
        <v>131</v>
      </c>
      <c r="I13" s="292" t="str">
        <f>IF(ISERROR(VLOOKUP(H13,Baza!A:C,2,FALSE)&amp;" "&amp;"("&amp;H13&amp;")"),"",(VLOOKUP(H13,Baza!A:C,2,FALSE)&amp;" "&amp;"("&amp;H13&amp;")"))</f>
        <v>Томе Милев (131)</v>
      </c>
      <c r="J13" s="292" t="str">
        <f>IF(ISERROR(VLOOKUP(H13,Baza!A:C,3,FALSE)),"",(VLOOKUP(H13,Baza!A:C,3,FALSE)))</f>
        <v>Астраион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19</v>
      </c>
      <c r="O13" s="280">
        <v>157</v>
      </c>
      <c r="Q13" s="373"/>
    </row>
    <row r="14" spans="2:17" ht="16.5" thickBot="1">
      <c r="B14" s="410"/>
      <c r="C14" s="309">
        <v>12</v>
      </c>
      <c r="D14" s="332" t="str">
        <f t="shared" si="1"/>
        <v>Леонид Гидалов (355)</v>
      </c>
      <c r="E14" s="333" t="str">
        <f t="shared" si="2"/>
        <v>Рисови</v>
      </c>
      <c r="F14" s="325">
        <v>21</v>
      </c>
      <c r="G14" s="281">
        <v>2</v>
      </c>
      <c r="H14" s="402">
        <v>261</v>
      </c>
      <c r="I14" s="292" t="str">
        <f>IF(ISERROR(VLOOKUP(H14,Baza!A:C,2,FALSE)&amp;" "&amp;"("&amp;H14&amp;")"),"",(VLOOKUP(H14,Baza!A:C,2,FALSE)&amp;" "&amp;"("&amp;H14&amp;")"))</f>
        <v>Антонио Вељановски (261)</v>
      </c>
      <c r="J14" s="292" t="str">
        <f>IF(ISERROR(VLOOKUP(H14,Baza!A:C,3,FALSE)),"",(VLOOKUP(H14,Baza!A:C,3,FALSE)))</f>
        <v>Пелагонија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21</v>
      </c>
      <c r="O14" s="280">
        <v>144</v>
      </c>
      <c r="Q14" s="373"/>
    </row>
    <row r="15" spans="2:17">
      <c r="B15" s="411" t="s">
        <v>65</v>
      </c>
      <c r="C15" s="305">
        <v>13</v>
      </c>
      <c r="D15" s="326" t="str">
        <f t="shared" si="1"/>
        <v>Лука Стојчев (73)</v>
      </c>
      <c r="E15" s="327" t="str">
        <f t="shared" si="2"/>
        <v>Шампион ФА</v>
      </c>
      <c r="F15" s="325">
        <v>1</v>
      </c>
      <c r="G15" s="280">
        <v>3</v>
      </c>
      <c r="H15" s="402">
        <v>347</v>
      </c>
      <c r="I15" s="292" t="str">
        <f>IF(ISERROR(VLOOKUP(H15,Baza!A:C,2,FALSE)&amp;" "&amp;"("&amp;H15&amp;")"),"",(VLOOKUP(H15,Baza!A:C,2,FALSE)&amp;" "&amp;"("&amp;H15&amp;")"))</f>
        <v>Кристијан Каламадевски (347)</v>
      </c>
      <c r="J15" s="292" t="str">
        <f>IF(ISERROR(VLOOKUP(H15,Baza!A:C,3,FALSE)),"",(VLOOKUP(H15,Baza!A:C,3,FALSE)))</f>
        <v>Берово 2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1</v>
      </c>
      <c r="O15" s="280">
        <v>68</v>
      </c>
      <c r="Q15" s="373"/>
    </row>
    <row r="16" spans="2:17">
      <c r="B16" s="409"/>
      <c r="C16" s="306">
        <v>14</v>
      </c>
      <c r="D16" s="328" t="str">
        <f t="shared" si="1"/>
        <v>Антонио Аврамски (144)</v>
      </c>
      <c r="E16" s="329" t="str">
        <f t="shared" si="2"/>
        <v>Берово 2</v>
      </c>
      <c r="F16" s="325">
        <v>20</v>
      </c>
      <c r="G16" s="281">
        <v>11</v>
      </c>
      <c r="H16" s="402">
        <v>364</v>
      </c>
      <c r="I16" s="292" t="str">
        <f>IF(ISERROR(VLOOKUP(H16,Baza!A:C,2,FALSE)&amp;" "&amp;"("&amp;H16&amp;")"),"",(VLOOKUP(H16,Baza!A:C,2,FALSE)&amp;" "&amp;"("&amp;H16&amp;")"))</f>
        <v>Петар Мукаетов (364)</v>
      </c>
      <c r="J16" s="292" t="str">
        <f>IF(ISERROR(VLOOKUP(H16,Baza!A:C,3,FALSE)),"",(VLOOKUP(H16,Baza!A:C,3,FALSE)))</f>
        <v>Кавадарци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20</v>
      </c>
      <c r="O16" s="280">
        <v>39</v>
      </c>
      <c r="Q16" s="373"/>
    </row>
    <row r="17" spans="2:17">
      <c r="B17" s="409"/>
      <c r="C17" s="306">
        <v>15</v>
      </c>
      <c r="D17" s="328" t="str">
        <f t="shared" si="1"/>
        <v>Кристијан Митев (420)</v>
      </c>
      <c r="E17" s="329" t="str">
        <f t="shared" si="2"/>
        <v>Пелагонија</v>
      </c>
      <c r="F17" s="325">
        <v>27</v>
      </c>
      <c r="G17" s="281">
        <v>7</v>
      </c>
      <c r="H17" s="402">
        <v>15</v>
      </c>
      <c r="I17" s="292" t="str">
        <f>IF(ISERROR(VLOOKUP(H17,Baza!A:C,2,FALSE)&amp;" "&amp;"("&amp;H17&amp;")"),"",(VLOOKUP(H17,Baza!A:C,2,FALSE)&amp;" "&amp;"("&amp;H17&amp;")"))</f>
        <v>Лука Огненоски (15)</v>
      </c>
      <c r="J17" s="292" t="str">
        <f>IF(ISERROR(VLOOKUP(H17,Baza!A:C,3,FALSE)),"",(VLOOKUP(H17,Baza!A:C,3,FALSE)))</f>
        <v>Младост 96</v>
      </c>
      <c r="K17" s="355">
        <f>IF(ISERROR(VLOOKUP(H17,Baza!A:D,4,FALSE)),"",(VLOOKUP(H17,Baza!A:D,4,FALSE)))</f>
        <v>0</v>
      </c>
      <c r="M17" s="276" t="str">
        <f t="shared" si="0"/>
        <v>Младост 96</v>
      </c>
      <c r="N17" s="276">
        <v>27</v>
      </c>
      <c r="O17" s="280">
        <v>34</v>
      </c>
      <c r="Q17" s="373"/>
    </row>
    <row r="18" spans="2:17" ht="16.5" thickBot="1">
      <c r="B18" s="412"/>
      <c r="C18" s="307">
        <v>16</v>
      </c>
      <c r="D18" s="330" t="str">
        <f t="shared" si="1"/>
        <v>Јаков Јакимовски (538)</v>
      </c>
      <c r="E18" s="331" t="str">
        <f t="shared" si="2"/>
        <v>Куманово</v>
      </c>
      <c r="F18" s="325">
        <v>12</v>
      </c>
      <c r="G18" s="281">
        <v>19</v>
      </c>
      <c r="H18" s="402">
        <v>499</v>
      </c>
      <c r="I18" s="292" t="str">
        <f>IF(ISERROR(VLOOKUP(H18,Baza!A:C,2,FALSE)&amp;" "&amp;"("&amp;H18&amp;")"),"",(VLOOKUP(H18,Baza!A:C,2,FALSE)&amp;" "&amp;"("&amp;H18&amp;")"))</f>
        <v>Дарко Китановски (499)</v>
      </c>
      <c r="J18" s="292" t="str">
        <f>IF(ISERROR(VLOOKUP(H18,Baza!A:C,3,FALSE)),"",(VLOOKUP(H18,Baza!A:C,3,FALSE)))</f>
        <v>Пелагонија</v>
      </c>
      <c r="K18" s="355">
        <f>IF(ISERROR(VLOOKUP(H18,Baza!A:D,4,FALSE)),"",(VLOOKUP(H18,Baza!A:D,4,FALSE)))</f>
        <v>0</v>
      </c>
      <c r="M18" s="276" t="e">
        <f t="shared" si="0"/>
        <v>#N/A</v>
      </c>
      <c r="N18" s="276">
        <v>12</v>
      </c>
      <c r="O18" s="280">
        <v>34</v>
      </c>
      <c r="Q18" s="373"/>
    </row>
    <row r="19" spans="2:17">
      <c r="B19" s="408" t="s">
        <v>66</v>
      </c>
      <c r="C19" s="314">
        <v>17</v>
      </c>
      <c r="D19" s="334" t="str">
        <f t="shared" si="1"/>
        <v>Борис Секулов (130)</v>
      </c>
      <c r="E19" s="335" t="str">
        <f t="shared" si="2"/>
        <v>Астраион</v>
      </c>
      <c r="F19" s="325">
        <v>6</v>
      </c>
      <c r="G19" s="281">
        <v>15</v>
      </c>
      <c r="H19" s="402">
        <v>420</v>
      </c>
      <c r="I19" s="292" t="str">
        <f>IF(ISERROR(VLOOKUP(H19,Baza!A:C,2,FALSE)&amp;" "&amp;"("&amp;H19&amp;")"),"",(VLOOKUP(H19,Baza!A:C,2,FALSE)&amp;" "&amp;"("&amp;H19&amp;")"))</f>
        <v>Кристијан Митев (420)</v>
      </c>
      <c r="J19" s="292" t="str">
        <f>IF(ISERROR(VLOOKUP(H19,Baza!A:C,3,FALSE)),"",(VLOOKUP(H19,Baza!A:C,3,FALSE)))</f>
        <v>Пелагонија</v>
      </c>
      <c r="K19" s="355">
        <f>IF(ISERROR(VLOOKUP(H19,Baza!A:D,4,FALSE)),"",(VLOOKUP(H19,Baza!A:D,4,FALSE)))</f>
        <v>0</v>
      </c>
      <c r="M19" s="276" t="e">
        <f t="shared" si="0"/>
        <v>#N/A</v>
      </c>
      <c r="N19" s="276">
        <v>6</v>
      </c>
      <c r="O19" s="280">
        <v>16</v>
      </c>
      <c r="Q19" s="373"/>
    </row>
    <row r="20" spans="2:17">
      <c r="B20" s="409"/>
      <c r="C20" s="311">
        <v>18</v>
      </c>
      <c r="D20" s="328" t="str">
        <f t="shared" si="1"/>
        <v>Љупчо Треновски (404)</v>
      </c>
      <c r="E20" s="329" t="str">
        <f t="shared" si="2"/>
        <v>Берово 2</v>
      </c>
      <c r="F20" s="325">
        <v>13</v>
      </c>
      <c r="G20" s="281">
        <v>23</v>
      </c>
      <c r="H20" s="402">
        <v>440</v>
      </c>
      <c r="I20" s="292" t="str">
        <f>IF(ISERROR(VLOOKUP(H20,Baza!A:C,2,FALSE)&amp;" "&amp;"("&amp;H20&amp;")"),"",(VLOOKUP(H20,Baza!A:C,2,FALSE)&amp;" "&amp;"("&amp;H20&amp;")"))</f>
        <v>Андреј Бејковски (440)</v>
      </c>
      <c r="J20" s="292" t="str">
        <f>IF(ISERROR(VLOOKUP(H20,Baza!A:C,3,FALSE)),"",(VLOOKUP(H20,Baza!A:C,3,FALSE)))</f>
        <v>Пелагонија</v>
      </c>
      <c r="K20" s="355">
        <f>IF(ISERROR(VLOOKUP(H20,Baza!A:D,4,FALSE)),"",(VLOOKUP(H20,Baza!A:D,4,FALSE)))</f>
        <v>0</v>
      </c>
      <c r="M20" s="276" t="e">
        <f t="shared" si="0"/>
        <v>#N/A</v>
      </c>
      <c r="N20" s="276">
        <v>13</v>
      </c>
      <c r="O20" s="280">
        <v>16</v>
      </c>
    </row>
    <row r="21" spans="2:17">
      <c r="B21" s="409"/>
      <c r="C21" s="311">
        <v>19</v>
      </c>
      <c r="D21" s="328" t="str">
        <f t="shared" si="1"/>
        <v>Дарко Китановски (499)</v>
      </c>
      <c r="E21" s="329" t="str">
        <f t="shared" si="2"/>
        <v>Пелагонија</v>
      </c>
      <c r="F21" s="325">
        <v>26</v>
      </c>
      <c r="G21" s="281">
        <v>16</v>
      </c>
      <c r="H21" s="402">
        <v>538</v>
      </c>
      <c r="I21" s="292" t="str">
        <f>IF(ISERROR(VLOOKUP(H21,Baza!A:C,2,FALSE)&amp;" "&amp;"("&amp;H21&amp;")"),"",(VLOOKUP(H21,Baza!A:C,2,FALSE)&amp;" "&amp;"("&amp;H21&amp;")"))</f>
        <v>Јаков Јакимовски (538)</v>
      </c>
      <c r="J21" s="292" t="str">
        <f>IF(ISERROR(VLOOKUP(H21,Baza!A:C,3,FALSE)),"",(VLOOKUP(H21,Baza!A:C,3,FALSE)))</f>
        <v>Куманово</v>
      </c>
      <c r="K21" s="355">
        <f>IF(ISERROR(VLOOKUP(H21,Baza!A:D,4,FALSE)),"",(VLOOKUP(H21,Baza!A:D,4,FALSE)))</f>
        <v>0</v>
      </c>
      <c r="M21" s="276" t="e">
        <f t="shared" si="0"/>
        <v>#N/A</v>
      </c>
      <c r="N21" s="276">
        <v>26</v>
      </c>
      <c r="O21" s="280">
        <v>5</v>
      </c>
    </row>
    <row r="22" spans="2:17" ht="16.5" thickBot="1">
      <c r="B22" s="410"/>
      <c r="C22" s="312">
        <v>20</v>
      </c>
      <c r="D22" s="332" t="str">
        <f t="shared" si="1"/>
        <v>Стефан Белџигеровски (501)</v>
      </c>
      <c r="E22" s="333" t="str">
        <f t="shared" si="2"/>
        <v>Пелагонија</v>
      </c>
      <c r="F22" s="325">
        <v>18</v>
      </c>
      <c r="G22" s="281">
        <v>20</v>
      </c>
      <c r="H22" s="402">
        <v>501</v>
      </c>
      <c r="I22" s="292" t="str">
        <f>IF(ISERROR(VLOOKUP(H22,Baza!A:C,2,FALSE)&amp;" "&amp;"("&amp;H22&amp;")"),"",(VLOOKUP(H22,Baza!A:C,2,FALSE)&amp;" "&amp;"("&amp;H22&amp;")"))</f>
        <v>Стефан Белџигеровски (501)</v>
      </c>
      <c r="J22" s="292" t="str">
        <f>IF(ISERROR(VLOOKUP(H22,Baza!A:C,3,FALSE)),"",(VLOOKUP(H22,Baza!A:C,3,FALSE)))</f>
        <v>Пелагонија</v>
      </c>
      <c r="K22" s="355">
        <f>IF(ISERROR(VLOOKUP(H22,Baza!A:D,4,FALSE)),"",(VLOOKUP(H22,Baza!A:D,4,FALSE)))</f>
        <v>0</v>
      </c>
      <c r="M22" s="276" t="e">
        <f t="shared" si="0"/>
        <v>#N/A</v>
      </c>
      <c r="N22" s="276">
        <v>18</v>
      </c>
      <c r="O22" s="280">
        <v>5</v>
      </c>
    </row>
    <row r="23" spans="2:17">
      <c r="B23" s="411" t="s">
        <v>67</v>
      </c>
      <c r="C23" s="310">
        <v>21</v>
      </c>
      <c r="D23" s="326" t="str">
        <f t="shared" si="1"/>
        <v>Андреј Васевски (203)</v>
      </c>
      <c r="E23" s="327" t="str">
        <f t="shared" si="2"/>
        <v>Куманово</v>
      </c>
      <c r="F23" s="325">
        <v>15</v>
      </c>
      <c r="G23" s="281">
        <v>24</v>
      </c>
      <c r="H23" s="402">
        <v>500</v>
      </c>
      <c r="I23" s="292" t="str">
        <f>IF(ISERROR(VLOOKUP(H23,Baza!A:C,2,FALSE)&amp;" "&amp;"("&amp;H23&amp;")"),"",(VLOOKUP(H23,Baza!A:C,2,FALSE)&amp;" "&amp;"("&amp;H23&amp;")"))</f>
        <v>Марко Китановски (500)</v>
      </c>
      <c r="J23" s="292" t="str">
        <f>IF(ISERROR(VLOOKUP(H23,Baza!A:C,3,FALSE)),"",(VLOOKUP(H23,Baza!A:C,3,FALSE)))</f>
        <v>Пелагонија</v>
      </c>
      <c r="K23" s="355">
        <f>IF(ISERROR(VLOOKUP(H23,Baza!A:D,4,FALSE)),"",(VLOOKUP(H23,Baza!A:D,4,FALSE)))</f>
        <v>0</v>
      </c>
      <c r="M23" s="276" t="e">
        <f t="shared" si="0"/>
        <v>#N/A</v>
      </c>
      <c r="N23" s="276">
        <v>15</v>
      </c>
      <c r="O23" s="280">
        <v>5</v>
      </c>
    </row>
    <row r="24" spans="2:17">
      <c r="B24" s="409"/>
      <c r="C24" s="311">
        <v>22</v>
      </c>
      <c r="D24" s="328" t="str">
        <f t="shared" si="1"/>
        <v>Андреј Стојановски (47)</v>
      </c>
      <c r="E24" s="329" t="str">
        <f t="shared" si="2"/>
        <v>Крива Паланка</v>
      </c>
      <c r="F24" s="325">
        <v>11</v>
      </c>
      <c r="G24" s="281">
        <v>12</v>
      </c>
      <c r="H24" s="402">
        <v>355</v>
      </c>
      <c r="I24" s="292" t="str">
        <f>IF(ISERROR(VLOOKUP(H24,Baza!A:C,2,FALSE)&amp;" "&amp;"("&amp;H24&amp;")"),"",(VLOOKUP(H24,Baza!A:C,2,FALSE)&amp;" "&amp;"("&amp;H24&amp;")"))</f>
        <v>Леонид Гидалов (355)</v>
      </c>
      <c r="J24" s="292" t="str">
        <f>IF(ISERROR(VLOOKUP(H24,Baza!A:C,3,FALSE)),"",(VLOOKUP(H24,Baza!A:C,3,FALSE)))</f>
        <v>Рисови</v>
      </c>
      <c r="K24" s="355">
        <f>IF(ISERROR(VLOOKUP(H24,Baza!A:D,4,FALSE)),"",(VLOOKUP(H24,Baza!A:D,4,FALSE)))</f>
        <v>0</v>
      </c>
      <c r="M24" s="276" t="e">
        <f t="shared" si="0"/>
        <v>#N/A</v>
      </c>
      <c r="N24" s="276">
        <v>11</v>
      </c>
      <c r="O24" s="280">
        <v>0</v>
      </c>
    </row>
    <row r="25" spans="2:17">
      <c r="B25" s="409"/>
      <c r="C25" s="311">
        <v>23</v>
      </c>
      <c r="D25" s="328" t="str">
        <f t="shared" si="1"/>
        <v>Андреј Бејковски (440)</v>
      </c>
      <c r="E25" s="329" t="str">
        <f t="shared" si="2"/>
        <v>Пелагонија</v>
      </c>
      <c r="F25" s="325">
        <v>32</v>
      </c>
      <c r="G25" s="281"/>
      <c r="H25" s="402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32</v>
      </c>
      <c r="O25" s="280"/>
    </row>
    <row r="26" spans="2:17" ht="16.5" thickBot="1">
      <c r="B26" s="412"/>
      <c r="C26" s="313">
        <v>24</v>
      </c>
      <c r="D26" s="330" t="str">
        <f t="shared" si="1"/>
        <v>Марко Китановски (500)</v>
      </c>
      <c r="E26" s="331" t="str">
        <f t="shared" si="2"/>
        <v>Пелагонија</v>
      </c>
      <c r="F26" s="325">
        <v>9</v>
      </c>
      <c r="G26" s="281"/>
      <c r="H26" s="402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9</v>
      </c>
      <c r="O26" s="280"/>
    </row>
    <row r="27" spans="2:17">
      <c r="B27" s="408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5</v>
      </c>
      <c r="G27" s="281"/>
      <c r="H27" s="402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5</v>
      </c>
      <c r="O27" s="280"/>
    </row>
    <row r="28" spans="2:17">
      <c r="B28" s="409"/>
      <c r="C28" s="311">
        <v>26</v>
      </c>
      <c r="D28" s="328" t="str">
        <f t="shared" si="1"/>
        <v/>
      </c>
      <c r="E28" s="329" t="str">
        <f t="shared" si="2"/>
        <v/>
      </c>
      <c r="F28" s="325">
        <v>29</v>
      </c>
      <c r="G28" s="281"/>
      <c r="H28" s="402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29</v>
      </c>
      <c r="O28" s="280"/>
    </row>
    <row r="29" spans="2:17">
      <c r="B29" s="409"/>
      <c r="C29" s="311">
        <v>27</v>
      </c>
      <c r="D29" s="328" t="str">
        <f t="shared" si="1"/>
        <v/>
      </c>
      <c r="E29" s="329" t="str">
        <f t="shared" si="2"/>
        <v/>
      </c>
      <c r="F29" s="325">
        <v>17</v>
      </c>
      <c r="G29" s="281"/>
      <c r="H29" s="402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17</v>
      </c>
      <c r="O29" s="280"/>
    </row>
    <row r="30" spans="2:17" ht="16.5" thickBot="1">
      <c r="B30" s="410"/>
      <c r="C30" s="312">
        <v>28</v>
      </c>
      <c r="D30" s="332" t="str">
        <f t="shared" si="1"/>
        <v/>
      </c>
      <c r="E30" s="333" t="str">
        <f t="shared" si="2"/>
        <v/>
      </c>
      <c r="F30" s="325">
        <v>22</v>
      </c>
      <c r="G30" s="281"/>
      <c r="H30" s="402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22</v>
      </c>
      <c r="O30" s="280"/>
    </row>
    <row r="31" spans="2:17">
      <c r="B31" s="411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4</v>
      </c>
      <c r="G31" s="281"/>
      <c r="H31" s="402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4</v>
      </c>
      <c r="O31" s="280"/>
    </row>
    <row r="32" spans="2:17">
      <c r="B32" s="409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402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9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402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2"/>
      <c r="C34" s="313">
        <v>32</v>
      </c>
      <c r="D34" s="330" t="str">
        <f t="shared" si="1"/>
        <v/>
      </c>
      <c r="E34" s="331" t="str">
        <f t="shared" si="2"/>
        <v/>
      </c>
      <c r="F34" s="325">
        <v>7</v>
      </c>
      <c r="G34" s="281"/>
      <c r="H34" s="402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7</v>
      </c>
      <c r="O34" s="280"/>
    </row>
    <row r="35" spans="1:15">
      <c r="A35" s="282"/>
      <c r="B35" s="408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9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9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10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1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9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9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2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8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9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9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0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1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9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9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str">
        <f t="shared" si="3"/>
        <v>Крива Паланка</v>
      </c>
      <c r="N49" s="276">
        <v>47</v>
      </c>
      <c r="O49" s="280"/>
    </row>
    <row r="50" spans="2:15" ht="16.5" thickBot="1">
      <c r="B50" s="412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8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9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9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0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1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9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9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2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8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9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9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0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1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9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9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2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1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09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09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2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1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09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09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2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1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09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09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2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1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09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09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2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1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09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09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2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1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09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09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2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1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09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09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2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1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09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09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2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H10" sqref="H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Александар Јакимовски (178)</v>
      </c>
      <c r="E4" s="35">
        <f>C4+4</f>
        <v>5</v>
      </c>
      <c r="F4" s="36" t="str">
        <f>IF(VLOOKUP(E4,PARTICIPANTS!$C$3:$D$98,2,FALSE)="","",(VLOOKUP(E4,PARTICIPANTS!$C$3:$D$98,2,FALSE)))</f>
        <v>Нико Доага (190)</v>
      </c>
      <c r="G4" s="35">
        <f>E4+4</f>
        <v>9</v>
      </c>
      <c r="H4" s="36" t="str">
        <f>IF(VLOOKUP(G4,PARTICIPANTS!$C$3:$D$98,2,FALSE)="","",(VLOOKUP(G4,PARTICIPANTS!$C$3:$D$98,2,FALSE)))</f>
        <v>Даниел Главевски Зхоу  (108)</v>
      </c>
      <c r="I4" s="35">
        <f>G4+4</f>
        <v>13</v>
      </c>
      <c r="J4" s="36" t="str">
        <f>IF(VLOOKUP(I4,PARTICIPANTS!$C$3:$D$98,2,FALSE)="","",(VLOOKUP(I4,PARTICIPANTS!$C$3:$D$98,2,FALSE)))</f>
        <v>Лука Стојчев (73)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Антонио Вељановски (261)</v>
      </c>
      <c r="E5" s="35">
        <f t="shared" ref="E5:I7" si="0">C5+4</f>
        <v>6</v>
      </c>
      <c r="F5" s="36" t="str">
        <f>IF(VLOOKUP(E5,PARTICIPANTS!$C$3:$D$98,2,FALSE)="","",(VLOOKUP(E5,PARTICIPANTS!$C$3:$D$98,2,FALSE)))</f>
        <v>Филип Ангела (299)</v>
      </c>
      <c r="G5" s="35">
        <f t="shared" si="0"/>
        <v>10</v>
      </c>
      <c r="H5" s="36" t="str">
        <f>IF(VLOOKUP(G5,PARTICIPANTS!$C$3:$D$98,2,FALSE)="","",(VLOOKUP(G5,PARTICIPANTS!$C$3:$D$98,2,FALSE)))</f>
        <v>Томе Милев (131)</v>
      </c>
      <c r="I5" s="35">
        <f t="shared" si="0"/>
        <v>14</v>
      </c>
      <c r="J5" s="36" t="str">
        <f>IF(VLOOKUP(I5,PARTICIPANTS!$C$3:$D$98,2,FALSE)="","",(VLOOKUP(I5,PARTICIPANTS!$C$3:$D$98,2,FALSE)))</f>
        <v>Антонио Аврамски (144)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Кристијан Каламадевски (347)</v>
      </c>
      <c r="E6" s="35">
        <f t="shared" si="0"/>
        <v>7</v>
      </c>
      <c r="F6" s="36" t="str">
        <f>IF(VLOOKUP(E6,PARTICIPANTS!$C$3:$D$98,2,FALSE)="","",(VLOOKUP(E6,PARTICIPANTS!$C$3:$D$98,2,FALSE)))</f>
        <v>Лука Огненоски (15)</v>
      </c>
      <c r="G6" s="35">
        <f t="shared" si="0"/>
        <v>11</v>
      </c>
      <c r="H6" s="36" t="str">
        <f>IF(VLOOKUP(G6,PARTICIPANTS!$C$3:$D$98,2,FALSE)="","",(VLOOKUP(G6,PARTICIPANTS!$C$3:$D$98,2,FALSE)))</f>
        <v>Петар Мукаетов (364)</v>
      </c>
      <c r="I6" s="35">
        <f t="shared" si="0"/>
        <v>15</v>
      </c>
      <c r="J6" s="36" t="str">
        <f>IF(VLOOKUP(I6,PARTICIPANTS!$C$3:$D$98,2,FALSE)="","",(VLOOKUP(I6,PARTICIPANTS!$C$3:$D$98,2,FALSE)))</f>
        <v>Кристијан Митев (420)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>Леонид Гидалов (355)</v>
      </c>
      <c r="I7" s="35">
        <f t="shared" si="0"/>
        <v>16</v>
      </c>
      <c r="J7" s="36" t="str">
        <f>IF(VLOOKUP(I7,PARTICIPANTS!$C$3:$D$98,2,FALSE)="","",(VLOOKUP(I7,PARTICIPANTS!$C$3:$D$98,2,FALSE)))</f>
        <v>Јаков Јакимовски (538)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Борис Секулов (130)</v>
      </c>
      <c r="E9" s="35">
        <f>C9+4</f>
        <v>21</v>
      </c>
      <c r="F9" s="36" t="str">
        <f>IF(VLOOKUP(E9,PARTICIPANTS!$C$3:$D$98,2,FALSE)="","",(VLOOKUP(E9,PARTICIPANTS!$C$3:$D$98,2,FALSE)))</f>
        <v>Андреј Васевски (203)</v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Љупчо Треновски (404)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Андреј Стојановски (47)</v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Дарко Китановски (499)</v>
      </c>
      <c r="E11" s="35">
        <f t="shared" si="1"/>
        <v>23</v>
      </c>
      <c r="F11" s="36" t="str">
        <f>IF(VLOOKUP(E11,PARTICIPANTS!$C$3:$D$98,2,FALSE)="","",(VLOOKUP(E11,PARTICIPANTS!$C$3:$D$98,2,FALSE)))</f>
        <v>Андреј Бејковски (440)</v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>Стефан Белџигеровски (501)</v>
      </c>
      <c r="E12" s="35">
        <f t="shared" si="1"/>
        <v>24</v>
      </c>
      <c r="F12" s="36" t="str">
        <f>IF(VLOOKUP(E12,PARTICIPANTS!$C$3:$D$98,2,FALSE)="","",(VLOOKUP(E12,PARTICIPANTS!$C$3:$D$98,2,FALSE)))</f>
        <v>Марко Китановски (500)</v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topLeftCell="A583" workbookViewId="0">
      <selection activeCell="J21" sqref="J21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3" t="s">
        <v>196</v>
      </c>
      <c r="C69" s="394" t="s">
        <v>197</v>
      </c>
    </row>
    <row r="70" spans="1:3">
      <c r="A70" s="261">
        <v>70</v>
      </c>
      <c r="B70" s="393" t="s">
        <v>198</v>
      </c>
      <c r="C70" s="394" t="s">
        <v>197</v>
      </c>
    </row>
    <row r="71" spans="1:3">
      <c r="A71" s="261">
        <v>71</v>
      </c>
      <c r="B71" s="393" t="s">
        <v>199</v>
      </c>
      <c r="C71" s="394" t="s">
        <v>197</v>
      </c>
    </row>
    <row r="72" spans="1:3">
      <c r="A72" s="261">
        <v>72</v>
      </c>
      <c r="B72" s="393" t="s">
        <v>200</v>
      </c>
      <c r="C72" s="394" t="s">
        <v>197</v>
      </c>
    </row>
    <row r="73" spans="1:3">
      <c r="A73" s="261">
        <v>73</v>
      </c>
      <c r="B73" s="393" t="s">
        <v>201</v>
      </c>
      <c r="C73" s="394" t="s">
        <v>197</v>
      </c>
    </row>
    <row r="74" spans="1:3">
      <c r="A74" s="261">
        <v>74</v>
      </c>
      <c r="B74" s="393" t="s">
        <v>202</v>
      </c>
      <c r="C74" s="394" t="s">
        <v>197</v>
      </c>
    </row>
    <row r="75" spans="1:3">
      <c r="A75" s="261">
        <v>75</v>
      </c>
      <c r="B75" s="393" t="s">
        <v>203</v>
      </c>
      <c r="C75" s="394" t="s">
        <v>197</v>
      </c>
    </row>
    <row r="76" spans="1:3">
      <c r="A76" s="261">
        <v>76</v>
      </c>
      <c r="B76" s="267" t="s">
        <v>204</v>
      </c>
      <c r="C76" s="394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5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6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7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8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8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399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Александар Јакимовски (178)</v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IF(GROUPS!D5="","",GROUPS!D5)</f>
        <v>Антонио Вељановски (261)</v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IF(GROUPS!D6="","",GROUPS!D6)</f>
        <v>Кристијан Каламадевски (347)</v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IF(GROUPS!D7="","",GROUPS!D7)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 ht="19.5" thickBot="1">
      <c r="B9" s="217">
        <v>1</v>
      </c>
      <c r="C9" s="218" t="str">
        <f>IF(C3="","",VLOOKUP(B9,$B$3:$E$6,2,FALSE))</f>
        <v>Александар Јакимовски (178)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Антонио Вељановски (261)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Антонио Вељановски (261)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Кристијан Каламадевски (347)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 hidden="1">
      <c r="B17" s="154">
        <v>1</v>
      </c>
      <c r="C17" s="155" t="str">
        <f>IF(C5="","",VLOOKUP(B17,$B$3:$E$6,2,FALSE))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Кристијан Каламадевски (347)</v>
      </c>
      <c r="D18" s="166">
        <v>2</v>
      </c>
      <c r="E18" s="167" t="str">
        <f>IF(C5="","",VLOOKUP(D18,$B$3:$E$6,2,FALSE))</f>
        <v>Антонио Вељановски (261)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55" t="str">
        <f>IF(ISERROR(INDEX($C$3:$C$6,MATCH(W2,$T$3:$T$6,0))),"",(INDEX($C$3:$C$6,MATCH(W2,$T$3:$T$6,0))))</f>
        <v>Александар Јакимовски (178)</v>
      </c>
      <c r="Y2" s="456"/>
      <c r="Z2" s="457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Александар Јакимовски (178)</v>
      </c>
      <c r="D3" s="433"/>
      <c r="E3" s="434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78</v>
      </c>
      <c r="Q3" s="137">
        <f>IF(AND(T9="",T13="",T17=""),"",AP3)</f>
        <v>47</v>
      </c>
      <c r="R3" s="435">
        <f>IF(ISERROR(IF(AND(T9="",T13="",T17=""),"",SUM(AB3:AD3)+(N3-O3)/1000)+(AK3/10000)),"",IF(AND(T9="",T13="",T17=""),"",SUM(AB3:AD3)+(N3-O3)/1000)+(AK3/10000)+(AG3/100000))</f>
        <v>4.0088799999999996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55" t="str">
        <f t="shared" ref="X3:X5" si="0">IF(ISERROR(INDEX($C$3:$C$6,MATCH(W3,$T$3:$T$6,0))),"",(INDEX($C$3:$C$6,MATCH(W3,$T$3:$T$6,0))))</f>
        <v>Кристијан Каламадевски (347)</v>
      </c>
      <c r="Y3" s="456"/>
      <c r="Z3" s="45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78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0</v>
      </c>
      <c r="AK3" s="436">
        <f>SUM(AH3:AJ3)-SUM(AM3:AO3)</f>
        <v>31</v>
      </c>
      <c r="AL3" s="437"/>
      <c r="AM3" s="10">
        <f>AH5</f>
        <v>17</v>
      </c>
      <c r="AN3" s="10">
        <f>AI4</f>
        <v>30</v>
      </c>
      <c r="AO3" s="10">
        <f>AJ6</f>
        <v>0</v>
      </c>
      <c r="AP3" s="9">
        <f>SUM(AM3:AO3)</f>
        <v>47</v>
      </c>
    </row>
    <row r="4" spans="2:47" ht="24" customHeight="1">
      <c r="B4" s="127">
        <v>2</v>
      </c>
      <c r="C4" s="432" t="str">
        <f>IF(GROUPS!D5="","",GROUPS!D5)</f>
        <v>Антонио Вељановски (261)</v>
      </c>
      <c r="D4" s="433"/>
      <c r="E4" s="434"/>
      <c r="F4" s="139">
        <f>U13</f>
        <v>1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51</v>
      </c>
      <c r="Q4" s="137">
        <f>IF(AND(T10="",U13="",U18=""),"",AP4)</f>
        <v>78</v>
      </c>
      <c r="R4" s="435">
        <f>IF(ISERROR(IF(AND(T10="",U13="",U18=""),"",SUM(AB4:AD4)+(N4-O4)/1000)+(AK4/10000)+(AG4/100000)),"",IF(AND(T10="",U13="",U18=""),"",SUM(AB4:AD4)+(N4-O4)/1000)+(AK4/10000)+(AG4/100000))</f>
        <v>1.9928100000000002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58" t="str">
        <f t="shared" si="0"/>
        <v>Антонио Вељановски (261)</v>
      </c>
      <c r="Y4" s="459"/>
      <c r="Z4" s="460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51</v>
      </c>
      <c r="AH4" s="10">
        <f>F10+H10+J10+L10+N10+P10+R10</f>
        <v>0</v>
      </c>
      <c r="AI4" s="10">
        <f>G13+I13+K13+M13+O13+Q13+S13</f>
        <v>30</v>
      </c>
      <c r="AJ4" s="10">
        <f>G18+I18+K18+M18+O18+Q18+S18</f>
        <v>21</v>
      </c>
      <c r="AK4" s="436">
        <f t="shared" ref="AK4:AK6" si="2">SUM(AH4:AJ4)-SUM(AM4:AO4)</f>
        <v>-27</v>
      </c>
      <c r="AL4" s="437"/>
      <c r="AM4" s="10">
        <f>AH6</f>
        <v>0</v>
      </c>
      <c r="AN4" s="10">
        <f>AI3</f>
        <v>45</v>
      </c>
      <c r="AO4" s="10">
        <f>AJ5</f>
        <v>33</v>
      </c>
      <c r="AP4" s="9">
        <f t="shared" ref="AP4:AP6" si="3">SUM(AM4:AO4)</f>
        <v>78</v>
      </c>
    </row>
    <row r="5" spans="2:47" ht="24" customHeight="1">
      <c r="B5" s="127">
        <v>3</v>
      </c>
      <c r="C5" s="432" t="str">
        <f>IF(GROUPS!D6="","",GROUPS!D6)</f>
        <v>Кристијан Каламадевски (347)</v>
      </c>
      <c r="D5" s="433"/>
      <c r="E5" s="434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50</v>
      </c>
      <c r="Q5" s="137">
        <f>IF(AND(U9="",T14="",T18=""),"",AP5)</f>
        <v>54</v>
      </c>
      <c r="R5" s="435">
        <f>IF(ISERROR(IF(AND(U9="",T14="",T18=""),"",SUM(AB5:AD5)+(N5-O5)/1000)+(AK5/10000)+(AG5/100000)),"",IF(AND(U9="",T14="",T18=""),"",SUM(AB5:AD5)+(N5-O5)/1000)+(AK5/10000)+(AG5/100000))</f>
        <v>3.0001000000000002</v>
      </c>
      <c r="S5" s="435"/>
      <c r="T5" s="138">
        <f>IF(ISERROR(IF(C5="","",RANK(R5,$R$3:$S$6,0))),"",IF(C5="","",RANK(R5,$R$3:$S$6,0)))</f>
        <v>2</v>
      </c>
      <c r="U5" s="9"/>
      <c r="V5" s="9"/>
      <c r="W5" s="7">
        <v>4</v>
      </c>
      <c r="X5" s="458" t="str">
        <f t="shared" si="0"/>
        <v/>
      </c>
      <c r="Y5" s="459"/>
      <c r="Z5" s="460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50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33</v>
      </c>
      <c r="AK5" s="436">
        <f t="shared" si="2"/>
        <v>-4</v>
      </c>
      <c r="AL5" s="437"/>
      <c r="AM5" s="10">
        <f>AH3</f>
        <v>33</v>
      </c>
      <c r="AN5" s="10">
        <f>AI6</f>
        <v>0</v>
      </c>
      <c r="AO5" s="10">
        <f>AJ4</f>
        <v>21</v>
      </c>
      <c r="AP5" s="9">
        <f t="shared" si="3"/>
        <v>54</v>
      </c>
    </row>
    <row r="6" spans="2:47" ht="24" customHeight="1" thickBot="1">
      <c r="B6" s="142">
        <v>4</v>
      </c>
      <c r="C6" s="441" t="str">
        <f>IF(GROUPS!D7="","",GROUPS!D7)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179</v>
      </c>
      <c r="Q7" s="153">
        <f>SUM(Q3:Q6)</f>
        <v>179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Кристијан Каламадевски (347)</v>
      </c>
      <c r="F9" s="158">
        <v>11</v>
      </c>
      <c r="G9" s="159">
        <v>7</v>
      </c>
      <c r="H9" s="160">
        <v>11</v>
      </c>
      <c r="I9" s="159">
        <v>7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Вељановски (261)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Антонио Вељановски (261)</v>
      </c>
      <c r="F13" s="158">
        <v>11</v>
      </c>
      <c r="G13" s="159">
        <v>5</v>
      </c>
      <c r="H13" s="160">
        <v>12</v>
      </c>
      <c r="I13" s="159">
        <v>14</v>
      </c>
      <c r="J13" s="158">
        <v>11</v>
      </c>
      <c r="K13" s="161">
        <v>2</v>
      </c>
      <c r="L13" s="160">
        <v>11</v>
      </c>
      <c r="M13" s="159">
        <v>9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Кристијан Каламадевски (347)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Кристијан Каламадевски (347)</v>
      </c>
      <c r="D18" s="166">
        <v>2</v>
      </c>
      <c r="E18" s="167" t="str">
        <f>IF(C4="","",VLOOKUP(D18,$B$3:$E$6,2,FALSE))</f>
        <v>Антонио Вељановски (261)</v>
      </c>
      <c r="F18" s="168">
        <v>11</v>
      </c>
      <c r="G18" s="169">
        <v>6</v>
      </c>
      <c r="H18" s="170">
        <v>11</v>
      </c>
      <c r="I18" s="169">
        <v>7</v>
      </c>
      <c r="J18" s="168">
        <v>11</v>
      </c>
      <c r="K18" s="171">
        <v>8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Нико Доага (190)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IF(GROUPS!F4="","",GROUPS!F4)</f>
        <v>Нико Доага (190)</v>
      </c>
      <c r="D3" s="433"/>
      <c r="E3" s="434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2</v>
      </c>
      <c r="P3" s="136">
        <f>IF(AND(T9="",T13="",T17=""),"",AG3)</f>
        <v>80</v>
      </c>
      <c r="Q3" s="137">
        <f>IF(AND(T9="",T13="",T17=""),"",AP3)</f>
        <v>65</v>
      </c>
      <c r="R3" s="435">
        <f>IF(ISERROR(IF(AND(T9="",T13="",T17=""),"",SUM(AB3:AD3)+(N3-O3)/1000)+(AK3/10000)),"",IF(AND(T9="",T13="",T17=""),"",SUM(AB3:AD3)+(N3-O3)/1000)+(AK3/10000)+(AG3/100000))</f>
        <v>4.0062999999999995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Филип Ангела (299)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80</v>
      </c>
      <c r="AH3" s="10">
        <f>F9+H9+J9+L9+N9+P9+R9</f>
        <v>33</v>
      </c>
      <c r="AI3" s="10">
        <f>F13+H13+J13+L13+N13+P13+R13</f>
        <v>47</v>
      </c>
      <c r="AJ3" s="10">
        <f>F17+H17+J17+L17+N17+P17+R17</f>
        <v>0</v>
      </c>
      <c r="AK3" s="436">
        <f>SUM(AH3:AJ3)-SUM(AM3:AO3)</f>
        <v>15</v>
      </c>
      <c r="AL3" s="437"/>
      <c r="AM3" s="10">
        <f>AH5</f>
        <v>24</v>
      </c>
      <c r="AN3" s="10">
        <f>AI4</f>
        <v>41</v>
      </c>
      <c r="AO3" s="10">
        <f>AJ6</f>
        <v>0</v>
      </c>
      <c r="AP3" s="9">
        <f>SUM(AM3:AO3)</f>
        <v>65</v>
      </c>
    </row>
    <row r="4" spans="2:47" ht="24" customHeight="1">
      <c r="B4" s="127">
        <v>2</v>
      </c>
      <c r="C4" s="432" t="str">
        <f>IF(GROUPS!F5="","",GROUPS!F5)</f>
        <v>Филип Ангела (299)</v>
      </c>
      <c r="D4" s="433"/>
      <c r="E4" s="434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5</v>
      </c>
      <c r="O4" s="135">
        <f>IF(AND(T10="",U13="",U18=""),"",SUM(G4,K4,M4))</f>
        <v>4</v>
      </c>
      <c r="P4" s="136">
        <f>IF(AND(T10="",U13="",U18=""),"",AG4)</f>
        <v>88</v>
      </c>
      <c r="Q4" s="137">
        <f>IF(AND(T10="",U13="",U18=""),"",AP4)</f>
        <v>76</v>
      </c>
      <c r="R4" s="435">
        <f>IF(ISERROR(IF(AND(T10="",U13="",U18=""),"",SUM(AB4:AD4)+(N4-O4)/1000)+(AK4/10000)+(AG4/100000)),"",IF(AND(T10="",U13="",U18=""),"",SUM(AB4:AD4)+(N4-O4)/1000)+(AK4/10000)+(AG4/100000))</f>
        <v>3.0030799999999997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Лука Огненоски (15)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88</v>
      </c>
      <c r="AH4" s="10">
        <f>F10+H10+J10+L10+N10+P10+R10</f>
        <v>0</v>
      </c>
      <c r="AI4" s="10">
        <f>G13+I13+K13+M13+O13+Q13+S13</f>
        <v>41</v>
      </c>
      <c r="AJ4" s="10">
        <f>G18+I18+K18+M18+O18+Q18+S18</f>
        <v>47</v>
      </c>
      <c r="AK4" s="436">
        <f t="shared" ref="AK4:AK6" si="2">SUM(AH4:AJ4)-SUM(AM4:AO4)</f>
        <v>12</v>
      </c>
      <c r="AL4" s="437"/>
      <c r="AM4" s="10">
        <f>AH6</f>
        <v>0</v>
      </c>
      <c r="AN4" s="10">
        <f>AI3</f>
        <v>47</v>
      </c>
      <c r="AO4" s="10">
        <f>AJ5</f>
        <v>29</v>
      </c>
      <c r="AP4" s="9">
        <f t="shared" ref="AP4:AP6" si="3">SUM(AM4:AO4)</f>
        <v>76</v>
      </c>
    </row>
    <row r="5" spans="2:47" ht="24" customHeight="1">
      <c r="B5" s="127">
        <v>3</v>
      </c>
      <c r="C5" s="432" t="str">
        <f>IF(GROUPS!F6="","",GROUPS!F6)</f>
        <v>Лука Огненоски (15)</v>
      </c>
      <c r="D5" s="433"/>
      <c r="E5" s="434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53</v>
      </c>
      <c r="Q5" s="137">
        <f>IF(AND(U9="",T14="",T18=""),"",AP5)</f>
        <v>80</v>
      </c>
      <c r="R5" s="435">
        <f>IF(ISERROR(IF(AND(U9="",T14="",T18=""),"",SUM(AB5:AD5)+(N5-O5)/1000)+(AK5/10000)+(AG5/100000)),"",IF(AND(U9="",T14="",T18=""),"",SUM(AB5:AD5)+(N5-O5)/1000)+(AK5/10000)+(AG5/100000))</f>
        <v>1.9928300000000001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/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53</v>
      </c>
      <c r="AH5" s="10">
        <f>G9+I9+K9+M9+O9+Q9+S9</f>
        <v>24</v>
      </c>
      <c r="AI5" s="10">
        <f>F14+H14+J14+L14+N14+P14+R14</f>
        <v>0</v>
      </c>
      <c r="AJ5" s="10">
        <f>F18+H18+J18+L18+N18+P18+R18</f>
        <v>29</v>
      </c>
      <c r="AK5" s="436">
        <f t="shared" si="2"/>
        <v>-27</v>
      </c>
      <c r="AL5" s="437"/>
      <c r="AM5" s="10">
        <f>AH3</f>
        <v>33</v>
      </c>
      <c r="AN5" s="10">
        <f>AI6</f>
        <v>0</v>
      </c>
      <c r="AO5" s="10">
        <f>AJ4</f>
        <v>47</v>
      </c>
      <c r="AP5" s="9">
        <f t="shared" si="3"/>
        <v>80</v>
      </c>
    </row>
    <row r="6" spans="2:47" ht="24" customHeight="1" thickBot="1">
      <c r="B6" s="142">
        <v>4</v>
      </c>
      <c r="C6" s="441" t="str">
        <f>IF(GROUPS!F7="","",GROUPS!F7)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221</v>
      </c>
      <c r="Q7" s="153">
        <f>SUM(Q3:Q6)</f>
        <v>221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Нико Доага (190)</v>
      </c>
      <c r="D9" s="156">
        <v>3</v>
      </c>
      <c r="E9" s="157" t="str">
        <f>IF(C5="","",VLOOKUP(D9,$B$3:$E$6,2,FALSE))</f>
        <v>Лука Огненоски (15)</v>
      </c>
      <c r="F9" s="158">
        <v>11</v>
      </c>
      <c r="G9" s="159">
        <v>7</v>
      </c>
      <c r="H9" s="160">
        <v>11</v>
      </c>
      <c r="I9" s="159">
        <v>9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Филип Ангела (299)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Нико Доага (190)</v>
      </c>
      <c r="D13" s="156">
        <v>2</v>
      </c>
      <c r="E13" s="157" t="str">
        <f>IF(C4="","",VLOOKUP(D13,$B$3:$E$6,2,FALSE))</f>
        <v>Филип Ангела (299)</v>
      </c>
      <c r="F13" s="158">
        <v>7</v>
      </c>
      <c r="G13" s="159">
        <v>11</v>
      </c>
      <c r="H13" s="160">
        <v>7</v>
      </c>
      <c r="I13" s="159">
        <v>11</v>
      </c>
      <c r="J13" s="158">
        <v>11</v>
      </c>
      <c r="K13" s="161">
        <v>6</v>
      </c>
      <c r="L13" s="160">
        <v>11</v>
      </c>
      <c r="M13" s="159">
        <v>5</v>
      </c>
      <c r="N13" s="158">
        <v>11</v>
      </c>
      <c r="O13" s="161">
        <v>8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Лука Огненоски (15)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Нико Доага (190)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Лука Огненоски (15)</v>
      </c>
      <c r="D18" s="166">
        <v>2</v>
      </c>
      <c r="E18" s="167" t="str">
        <f>IF(C4="","",VLOOKUP(D18,$B$3:$E$6,2,FALSE))</f>
        <v>Филип Ангела (299)</v>
      </c>
      <c r="F18" s="168">
        <v>16</v>
      </c>
      <c r="G18" s="169">
        <v>14</v>
      </c>
      <c r="H18" s="170">
        <v>4</v>
      </c>
      <c r="I18" s="169">
        <v>11</v>
      </c>
      <c r="J18" s="168">
        <v>3</v>
      </c>
      <c r="K18" s="171">
        <v>11</v>
      </c>
      <c r="L18" s="170">
        <v>6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Даниел Главевски Зхоу  (108)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IF(GROUPS!H4="","",GROUPS!H4)</f>
        <v>Даниел Главевски Зхоу  (108)</v>
      </c>
      <c r="D3" s="433"/>
      <c r="E3" s="434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109</v>
      </c>
      <c r="Q3" s="137">
        <f>IF(AND(T9="",T13="",T17=""),"",AP3)</f>
        <v>70</v>
      </c>
      <c r="R3" s="435">
        <f>IF(ISERROR(IF(AND(T9="",T13="",T17=""),"",SUM(AB3:AD3)+(N3-O3)/1000)+(AK3/10000)),"",IF(AND(T9="",T13="",T17=""),"",SUM(AB3:AD3)+(N3-O3)/1000)+(AK3/10000)+(AG3/100000))</f>
        <v>6.0129899999999994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Томе Милев (131)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109</v>
      </c>
      <c r="AH3" s="10">
        <f>F9+H9+J9+L9+N9+P9+R9</f>
        <v>33</v>
      </c>
      <c r="AI3" s="10">
        <f>F13+H13+J13+L13+N13+P13+R13</f>
        <v>43</v>
      </c>
      <c r="AJ3" s="10">
        <f>F17+H17+J17+L17+N17+P17+R17</f>
        <v>33</v>
      </c>
      <c r="AK3" s="436">
        <f>SUM(AH3:AJ3)-SUM(AM3:AO3)</f>
        <v>39</v>
      </c>
      <c r="AL3" s="437"/>
      <c r="AM3" s="10">
        <f>AH5</f>
        <v>20</v>
      </c>
      <c r="AN3" s="10">
        <f>AI4</f>
        <v>27</v>
      </c>
      <c r="AO3" s="10">
        <f>AJ6</f>
        <v>23</v>
      </c>
      <c r="AP3" s="9">
        <f>SUM(AM3:AO3)</f>
        <v>70</v>
      </c>
    </row>
    <row r="4" spans="2:47" ht="24" customHeight="1">
      <c r="B4" s="127">
        <v>2</v>
      </c>
      <c r="C4" s="432" t="str">
        <f>IF(GROUPS!H5="","",GROUPS!H5)</f>
        <v>Томе Милев (131)</v>
      </c>
      <c r="D4" s="433"/>
      <c r="E4" s="434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4</v>
      </c>
      <c r="P4" s="136">
        <f>IF(AND(T10="",U13="",U18=""),"",AG4)</f>
        <v>102</v>
      </c>
      <c r="Q4" s="137">
        <f>IF(AND(T10="",U13="",U18=""),"",AP4)</f>
        <v>80</v>
      </c>
      <c r="R4" s="435">
        <f>IF(ISERROR(IF(AND(T10="",U13="",U18=""),"",SUM(AB4:AD4)+(N4-O4)/1000)+(AK4/10000)+(AG4/100000)),"",IF(AND(T10="",U13="",U18=""),"",SUM(AB4:AD4)+(N4-O4)/1000)+(AK4/10000)+(AG4/100000))</f>
        <v>5.0062199999999999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Леонид Гидалов (355)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102</v>
      </c>
      <c r="AH4" s="10">
        <f>F10+H10+J10+L10+N10+P10+R10</f>
        <v>33</v>
      </c>
      <c r="AI4" s="10">
        <f>G13+I13+K13+M13+O13+Q13+S13</f>
        <v>27</v>
      </c>
      <c r="AJ4" s="10">
        <f>G18+I18+K18+M18+O18+Q18+S18</f>
        <v>42</v>
      </c>
      <c r="AK4" s="436">
        <f t="shared" ref="AK4:AK6" si="2">SUM(AH4:AJ4)-SUM(AM4:AO4)</f>
        <v>22</v>
      </c>
      <c r="AL4" s="437"/>
      <c r="AM4" s="10">
        <f>AH6</f>
        <v>12</v>
      </c>
      <c r="AN4" s="10">
        <f>AI3</f>
        <v>43</v>
      </c>
      <c r="AO4" s="10">
        <f>AJ5</f>
        <v>25</v>
      </c>
      <c r="AP4" s="9">
        <f t="shared" ref="AP4:AP6" si="3">SUM(AM4:AO4)</f>
        <v>80</v>
      </c>
    </row>
    <row r="5" spans="2:47" ht="24" customHeight="1">
      <c r="B5" s="127">
        <v>3</v>
      </c>
      <c r="C5" s="432" t="str">
        <f>IF(GROUPS!H6="","",GROUPS!H6)</f>
        <v>Петар Мукаетов (364)</v>
      </c>
      <c r="D5" s="433"/>
      <c r="E5" s="434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75</v>
      </c>
      <c r="Q5" s="137">
        <f>IF(AND(U9="",T14="",T18=""),"",AP5)</f>
        <v>114</v>
      </c>
      <c r="R5" s="435">
        <f>IF(ISERROR(IF(AND(U9="",T14="",T18=""),"",SUM(AB5:AD5)+(N5-O5)/1000)+(AK5/10000)+(AG5/100000)),"",IF(AND(U9="",T14="",T18=""),"",SUM(AB5:AD5)+(N5-O5)/1000)+(AK5/10000)+(AG5/100000))</f>
        <v>2.9898500000000001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Петар Мукаетов (364)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75</v>
      </c>
      <c r="AH5" s="10">
        <f>G9+I9+K9+M9+O9+Q9+S9</f>
        <v>20</v>
      </c>
      <c r="AI5" s="10">
        <f>F14+H14+J14+L14+N14+P14+R14</f>
        <v>30</v>
      </c>
      <c r="AJ5" s="10">
        <f>F18+H18+J18+L18+N18+P18+R18</f>
        <v>25</v>
      </c>
      <c r="AK5" s="436">
        <f t="shared" si="2"/>
        <v>-39</v>
      </c>
      <c r="AL5" s="437"/>
      <c r="AM5" s="10">
        <f>AH3</f>
        <v>33</v>
      </c>
      <c r="AN5" s="10">
        <f>AI6</f>
        <v>39</v>
      </c>
      <c r="AO5" s="10">
        <f>AJ4</f>
        <v>42</v>
      </c>
      <c r="AP5" s="9">
        <f t="shared" si="3"/>
        <v>114</v>
      </c>
    </row>
    <row r="6" spans="2:47" ht="24" customHeight="1" thickBot="1">
      <c r="B6" s="142">
        <v>4</v>
      </c>
      <c r="C6" s="441" t="str">
        <f>IF(GROUPS!H7="","",GROUPS!H7)</f>
        <v>Леонид Гидалов (355)</v>
      </c>
      <c r="D6" s="442"/>
      <c r="E6" s="443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7</v>
      </c>
      <c r="P6" s="150">
        <f>IF(AND(U10="",U14="",U17=""),"",AG6)</f>
        <v>74</v>
      </c>
      <c r="Q6" s="151">
        <f>IF(AND(U10="",U14="",U17=""),"",AP6)</f>
        <v>96</v>
      </c>
      <c r="R6" s="444">
        <f>IF(ISERROR(IF(AND(U10="",U14="",U17=""),"",SUM(AB6:AD6)+(N6-O6)/1000)+(AK6/10000)+(AG6/100000)),"",IF(AND(U10="",U14="",U17=""),"",SUM(AB6:AD6)+(N6-O6)/1000)+(AK6/10000)+(AG6/100000))</f>
        <v>3.9945399999999998</v>
      </c>
      <c r="S6" s="444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74</v>
      </c>
      <c r="AH6" s="10">
        <f>G10+I10+K10+M10+O10+Q10+S10</f>
        <v>12</v>
      </c>
      <c r="AI6" s="10">
        <f>G14+I14+K14+M14+O14+Q14+S14</f>
        <v>39</v>
      </c>
      <c r="AJ6" s="10">
        <f>G17+I17+K17+M17+O17+Q17+S17</f>
        <v>23</v>
      </c>
      <c r="AK6" s="436">
        <f t="shared" si="2"/>
        <v>-22</v>
      </c>
      <c r="AL6" s="437"/>
      <c r="AM6" s="10">
        <f>AH4</f>
        <v>33</v>
      </c>
      <c r="AN6" s="10">
        <f>AI5</f>
        <v>30</v>
      </c>
      <c r="AO6" s="10">
        <f>AJ3</f>
        <v>33</v>
      </c>
      <c r="AP6" s="9">
        <f t="shared" si="3"/>
        <v>96</v>
      </c>
    </row>
    <row r="7" spans="2:47" ht="19.5" thickBot="1">
      <c r="P7" s="153">
        <f>SUM(P3:P6)</f>
        <v>360</v>
      </c>
      <c r="Q7" s="153">
        <f>SUM(Q3:Q6)</f>
        <v>360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Даниел Главевски Зхоу  (108)</v>
      </c>
      <c r="D9" s="156">
        <v>3</v>
      </c>
      <c r="E9" s="157" t="str">
        <f>IF(C5="","",VLOOKUP(D9,$B$3:$E$6,2,FALSE))</f>
        <v>Петар Мукаетов (364)</v>
      </c>
      <c r="F9" s="158">
        <v>11</v>
      </c>
      <c r="G9" s="159">
        <v>8</v>
      </c>
      <c r="H9" s="160">
        <v>11</v>
      </c>
      <c r="I9" s="159">
        <v>8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>Леонид Гидалов (355)</v>
      </c>
      <c r="F10" s="168">
        <v>11</v>
      </c>
      <c r="G10" s="169">
        <v>6</v>
      </c>
      <c r="H10" s="170">
        <v>11</v>
      </c>
      <c r="I10" s="169">
        <v>2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Даниел Главевски Зхоу  (108)</v>
      </c>
      <c r="D13" s="156">
        <v>2</v>
      </c>
      <c r="E13" s="157" t="str">
        <f>IF(C4="","",VLOOKUP(D13,$B$3:$E$6,2,FALSE))</f>
        <v>Томе Милев (131)</v>
      </c>
      <c r="F13" s="158">
        <v>11</v>
      </c>
      <c r="G13" s="159">
        <v>3</v>
      </c>
      <c r="H13" s="160">
        <v>9</v>
      </c>
      <c r="I13" s="159">
        <v>11</v>
      </c>
      <c r="J13" s="158">
        <v>11</v>
      </c>
      <c r="K13" s="161">
        <v>3</v>
      </c>
      <c r="L13" s="160">
        <v>12</v>
      </c>
      <c r="M13" s="159">
        <v>10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Петар Мукаетов (364)</v>
      </c>
      <c r="D14" s="166">
        <v>4</v>
      </c>
      <c r="E14" s="167" t="str">
        <f>IF(C6="","",VLOOKUP(D14,$B$3:$E$6,2,FALSE))</f>
        <v>Леонид Гидалов (355)</v>
      </c>
      <c r="F14" s="168">
        <v>7</v>
      </c>
      <c r="G14" s="169">
        <v>11</v>
      </c>
      <c r="H14" s="170">
        <v>11</v>
      </c>
      <c r="I14" s="169">
        <v>6</v>
      </c>
      <c r="J14" s="168">
        <v>3</v>
      </c>
      <c r="K14" s="171">
        <v>11</v>
      </c>
      <c r="L14" s="170">
        <v>9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Даниел Главевски Зхоу  (108)</v>
      </c>
      <c r="D17" s="156">
        <v>4</v>
      </c>
      <c r="E17" s="157" t="str">
        <f>IF(C6="","",VLOOKUP(D17,$B$3:$E$6,2,FALSE))</f>
        <v>Леонид Гидалов (355)</v>
      </c>
      <c r="F17" s="158">
        <v>11</v>
      </c>
      <c r="G17" s="159">
        <v>9</v>
      </c>
      <c r="H17" s="160">
        <v>11</v>
      </c>
      <c r="I17" s="159">
        <v>6</v>
      </c>
      <c r="J17" s="158">
        <v>11</v>
      </c>
      <c r="K17" s="161">
        <v>8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Петар Мукаетов (364)</v>
      </c>
      <c r="D18" s="166">
        <v>2</v>
      </c>
      <c r="E18" s="167" t="str">
        <f>IF(C4="","",VLOOKUP(D18,$B$3:$E$6,2,FALSE))</f>
        <v>Томе Милев (131)</v>
      </c>
      <c r="F18" s="168">
        <v>1</v>
      </c>
      <c r="G18" s="169">
        <v>11</v>
      </c>
      <c r="H18" s="170">
        <v>11</v>
      </c>
      <c r="I18" s="169">
        <v>9</v>
      </c>
      <c r="J18" s="168">
        <v>6</v>
      </c>
      <c r="K18" s="171">
        <v>11</v>
      </c>
      <c r="L18" s="170">
        <v>7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topLeftCell="A2"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Лука Стојчев (73)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IF(GROUPS!J4="","",GROUPS!J4)</f>
        <v>Лука Стојчев (73)</v>
      </c>
      <c r="D3" s="461"/>
      <c r="E3" s="462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108</v>
      </c>
      <c r="Q3" s="137">
        <f>IF(AND(T9="",T13="",T17=""),"",AP3)</f>
        <v>47</v>
      </c>
      <c r="R3" s="435">
        <f>IF(ISERROR(IF(AND(T9="",T13="",T17=""),"",SUM(AB3:AD3)+(N3-O3)/1000)+(AK3/10000)),"",IF(AND(T9="",T13="",T17=""),"",SUM(AB3:AD3)+(N3-O3)/1000)+(AK3/10000)+(AG3/100000))</f>
        <v>6.01518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Антонио Аврамски (144)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108</v>
      </c>
      <c r="AH3" s="10">
        <f>F9+H9+J9+L9+N9+P9+R9</f>
        <v>33</v>
      </c>
      <c r="AI3" s="10">
        <f>F13+H13+J13+L13+N13+P13+R13</f>
        <v>42</v>
      </c>
      <c r="AJ3" s="10">
        <f>F17+H17+J17+L17+N17+P17+R17</f>
        <v>33</v>
      </c>
      <c r="AK3" s="436">
        <f>SUM(AH3:AJ3)-SUM(AM3:AO3)</f>
        <v>61</v>
      </c>
      <c r="AL3" s="437"/>
      <c r="AM3" s="10">
        <f>AH5</f>
        <v>8</v>
      </c>
      <c r="AN3" s="10">
        <f>AI4</f>
        <v>25</v>
      </c>
      <c r="AO3" s="10">
        <f>AJ6</f>
        <v>14</v>
      </c>
      <c r="AP3" s="9">
        <f>SUM(AM3:AO3)</f>
        <v>47</v>
      </c>
    </row>
    <row r="4" spans="2:47" ht="24" customHeight="1">
      <c r="B4" s="234">
        <v>2</v>
      </c>
      <c r="C4" s="461" t="str">
        <f>IF(GROUPS!J5="","",GROUPS!J5)</f>
        <v>Антонио Аврамски (144)</v>
      </c>
      <c r="D4" s="461"/>
      <c r="E4" s="462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4</v>
      </c>
      <c r="P4" s="136">
        <f>IF(AND(T10="",U13="",U18=""),"",AG4)</f>
        <v>97</v>
      </c>
      <c r="Q4" s="137">
        <f>IF(AND(T10="",U13="",U18=""),"",AP4)</f>
        <v>84</v>
      </c>
      <c r="R4" s="435">
        <f>IF(ISERROR(IF(AND(T10="",U13="",U18=""),"",SUM(AB4:AD4)+(N4-O4)/1000)+(AK4/10000)+(AG4/100000)),"",IF(AND(T10="",U13="",U18=""),"",SUM(AB4:AD4)+(N4-O4)/1000)+(AK4/10000)+(AG4/100000))</f>
        <v>5.0052699999999994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Кристијан Митев (420)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97</v>
      </c>
      <c r="AH4" s="10">
        <f>F10+H10+J10+L10+N10+P10+R10</f>
        <v>33</v>
      </c>
      <c r="AI4" s="10">
        <f>G13+I13+K13+M13+O13+Q13+S13</f>
        <v>25</v>
      </c>
      <c r="AJ4" s="10">
        <f>G18+I18+K18+M18+O18+Q18+S18</f>
        <v>39</v>
      </c>
      <c r="AK4" s="436">
        <f t="shared" ref="AK4:AK6" si="2">SUM(AH4:AJ4)-SUM(AM4:AO4)</f>
        <v>13</v>
      </c>
      <c r="AL4" s="437"/>
      <c r="AM4" s="10">
        <f>AH6</f>
        <v>13</v>
      </c>
      <c r="AN4" s="10">
        <f>AI3</f>
        <v>42</v>
      </c>
      <c r="AO4" s="10">
        <f>AJ5</f>
        <v>29</v>
      </c>
      <c r="AP4" s="9">
        <f t="shared" ref="AP4:AP6" si="3">SUM(AM4:AO4)</f>
        <v>84</v>
      </c>
    </row>
    <row r="5" spans="2:47" ht="24" customHeight="1">
      <c r="B5" s="234">
        <v>3</v>
      </c>
      <c r="C5" s="461" t="str">
        <f>IF(GROUPS!J6="","",GROUPS!J6)</f>
        <v>Кристијан Митев (420)</v>
      </c>
      <c r="D5" s="461"/>
      <c r="E5" s="462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70</v>
      </c>
      <c r="Q5" s="137">
        <f>IF(AND(U9="",T14="",T18=""),"",AP5)</f>
        <v>92</v>
      </c>
      <c r="R5" s="435">
        <f>IF(ISERROR(IF(AND(U9="",T14="",T18=""),"",SUM(AB5:AD5)+(N5-O5)/1000)+(AK5/10000)+(AG5/100000)),"",IF(AND(U9="",T14="",T18=""),"",SUM(AB5:AD5)+(N5-O5)/1000)+(AK5/10000)+(AG5/100000))</f>
        <v>3.9965000000000002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>Јаков Јакимовски (538)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70</v>
      </c>
      <c r="AH5" s="10">
        <f>G9+I9+K9+M9+O9+Q9+S9</f>
        <v>8</v>
      </c>
      <c r="AI5" s="10">
        <f>F14+H14+J14+L14+N14+P14+R14</f>
        <v>33</v>
      </c>
      <c r="AJ5" s="10">
        <f>F18+H18+J18+L18+N18+P18+R18</f>
        <v>29</v>
      </c>
      <c r="AK5" s="436">
        <f t="shared" si="2"/>
        <v>-22</v>
      </c>
      <c r="AL5" s="437"/>
      <c r="AM5" s="10">
        <f>AH3</f>
        <v>33</v>
      </c>
      <c r="AN5" s="10">
        <f>AI6</f>
        <v>20</v>
      </c>
      <c r="AO5" s="10">
        <f>AJ4</f>
        <v>39</v>
      </c>
      <c r="AP5" s="9">
        <f t="shared" si="3"/>
        <v>92</v>
      </c>
    </row>
    <row r="6" spans="2:47" ht="24" customHeight="1" thickBot="1">
      <c r="B6" s="235">
        <v>4</v>
      </c>
      <c r="C6" s="463" t="str">
        <f>IF(GROUPS!J7="","",GROUPS!J7)</f>
        <v>Јаков Јакимовски (538)</v>
      </c>
      <c r="D6" s="463"/>
      <c r="E6" s="464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47</v>
      </c>
      <c r="Q6" s="151">
        <f>IF(AND(U10="",U14="",U17=""),"",AP6)</f>
        <v>99</v>
      </c>
      <c r="R6" s="444">
        <f>IF(ISERROR(IF(AND(U10="",U14="",U17=""),"",SUM(AB6:AD6)+(N6-O6)/1000)+(AK6/10000)+(AG6/100000)),"",IF(AND(U10="",U14="",U17=""),"",SUM(AB6:AD6)+(N6-O6)/1000)+(AK6/10000)+(AG6/100000))</f>
        <v>2.9862700000000002</v>
      </c>
      <c r="S6" s="444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47</v>
      </c>
      <c r="AH6" s="10">
        <f>G10+I10+K10+M10+O10+Q10+S10</f>
        <v>13</v>
      </c>
      <c r="AI6" s="10">
        <f>G14+I14+K14+M14+O14+Q14+S14</f>
        <v>20</v>
      </c>
      <c r="AJ6" s="10">
        <f>G17+I17+K17+M17+O17+Q17+S17</f>
        <v>14</v>
      </c>
      <c r="AK6" s="436">
        <f t="shared" si="2"/>
        <v>-52</v>
      </c>
      <c r="AL6" s="437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322</v>
      </c>
      <c r="Q7" s="153">
        <f>SUM(Q3:Q6)</f>
        <v>322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Кристијан Митев (420)</v>
      </c>
      <c r="F9" s="158">
        <v>11</v>
      </c>
      <c r="G9" s="159">
        <v>2</v>
      </c>
      <c r="H9" s="160">
        <v>11</v>
      </c>
      <c r="I9" s="159">
        <v>5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Аврамски (144)</v>
      </c>
      <c r="D10" s="166">
        <v>4</v>
      </c>
      <c r="E10" s="167" t="str">
        <f>IF(C6="","",VLOOKUP(D10,$B$3:$E$6,2,FALSE))</f>
        <v>Јаков Јакимовски (538)</v>
      </c>
      <c r="F10" s="168">
        <v>11</v>
      </c>
      <c r="G10" s="169">
        <v>2</v>
      </c>
      <c r="H10" s="170">
        <v>11</v>
      </c>
      <c r="I10" s="169">
        <v>4</v>
      </c>
      <c r="J10" s="168">
        <v>11</v>
      </c>
      <c r="K10" s="171">
        <v>7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Антонио Аврамски (144)</v>
      </c>
      <c r="F13" s="158">
        <v>11</v>
      </c>
      <c r="G13" s="159">
        <v>7</v>
      </c>
      <c r="H13" s="160">
        <v>11</v>
      </c>
      <c r="I13" s="159">
        <v>3</v>
      </c>
      <c r="J13" s="158">
        <v>9</v>
      </c>
      <c r="K13" s="161">
        <v>11</v>
      </c>
      <c r="L13" s="160">
        <v>11</v>
      </c>
      <c r="M13" s="159">
        <v>4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Кристијан Митев (420)</v>
      </c>
      <c r="D14" s="166">
        <v>4</v>
      </c>
      <c r="E14" s="167" t="str">
        <f>IF(C6="","",VLOOKUP(D14,$B$3:$E$6,2,FALSE))</f>
        <v>Јаков Јакимовски (538)</v>
      </c>
      <c r="F14" s="168">
        <v>11</v>
      </c>
      <c r="G14" s="169">
        <v>8</v>
      </c>
      <c r="H14" s="170">
        <v>11</v>
      </c>
      <c r="I14" s="169">
        <v>6</v>
      </c>
      <c r="J14" s="168">
        <v>11</v>
      </c>
      <c r="K14" s="171">
        <v>6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>Јаков Јакимовски (538)</v>
      </c>
      <c r="F17" s="158">
        <v>11</v>
      </c>
      <c r="G17" s="159">
        <v>7</v>
      </c>
      <c r="H17" s="160">
        <v>11</v>
      </c>
      <c r="I17" s="159">
        <v>4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Кристијан Митев (420)</v>
      </c>
      <c r="D18" s="166">
        <v>2</v>
      </c>
      <c r="E18" s="167" t="str">
        <f>IF(C4="","",VLOOKUP(D18,$B$3:$E$6,2,FALSE))</f>
        <v>Антонио Аврамски (144)</v>
      </c>
      <c r="F18" s="168">
        <v>11</v>
      </c>
      <c r="G18" s="169">
        <v>6</v>
      </c>
      <c r="H18" s="170">
        <v>6</v>
      </c>
      <c r="I18" s="169">
        <v>11</v>
      </c>
      <c r="J18" s="168">
        <v>6</v>
      </c>
      <c r="K18" s="171">
        <v>11</v>
      </c>
      <c r="L18" s="170">
        <v>6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Борис Секулов (130)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IF(GROUPS!D9="","",GROUPS!D9)</f>
        <v>Борис Секулов (130)</v>
      </c>
      <c r="D3" s="461"/>
      <c r="E3" s="462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2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3</v>
      </c>
      <c r="P3" s="136">
        <f>IF(AND(T9="",T13="",T17=""),"",AG3)</f>
        <v>121</v>
      </c>
      <c r="Q3" s="137">
        <f>IF(AND(T9="",T13="",T17=""),"",AP3)</f>
        <v>101</v>
      </c>
      <c r="R3" s="435">
        <f>IF(ISERROR(IF(AND(T9="",T13="",T17=""),"",SUM(AB3:AD3)+(N3-O3)/1000)+(AK3/10000)),"",IF(AND(T9="",T13="",T17=""),"",SUM(AB3:AD3)+(N3-O3)/1000)+(AK3/10000)+(AG3/100000))</f>
        <v>6.0092100000000004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Љупчо Треновски (404)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121</v>
      </c>
      <c r="AH3" s="10">
        <f>F9+H9+J9+L9+N9+P9+R9</f>
        <v>48</v>
      </c>
      <c r="AI3" s="10">
        <f>F13+H13+J13+L13+N13+P13+R13</f>
        <v>40</v>
      </c>
      <c r="AJ3" s="10">
        <f>F17+H17+J17+L17+N17+P17+R17</f>
        <v>33</v>
      </c>
      <c r="AK3" s="436">
        <f>SUM(AH3:AJ3)-SUM(AM3:AO3)</f>
        <v>20</v>
      </c>
      <c r="AL3" s="437"/>
      <c r="AM3" s="10">
        <f>AH5</f>
        <v>46</v>
      </c>
      <c r="AN3" s="10">
        <f>AI4</f>
        <v>34</v>
      </c>
      <c r="AO3" s="10">
        <f>AJ6</f>
        <v>21</v>
      </c>
      <c r="AP3" s="9">
        <f>SUM(AM3:AO3)</f>
        <v>101</v>
      </c>
    </row>
    <row r="4" spans="2:47" ht="24" customHeight="1">
      <c r="B4" s="234">
        <v>2</v>
      </c>
      <c r="C4" s="461" t="str">
        <f>IF(GROUPS!D10="","",GROUPS!D10)</f>
        <v>Љупчо Треновски (404)</v>
      </c>
      <c r="D4" s="461"/>
      <c r="E4" s="462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3</v>
      </c>
      <c r="P4" s="136">
        <f>IF(AND(T10="",U13="",U18=""),"",AG4)</f>
        <v>100</v>
      </c>
      <c r="Q4" s="137">
        <f>IF(AND(T10="",U13="",U18=""),"",AP4)</f>
        <v>73</v>
      </c>
      <c r="R4" s="435">
        <f>IF(ISERROR(IF(AND(T10="",U13="",U18=""),"",SUM(AB4:AD4)+(N4-O4)/1000)+(AK4/10000)+(AG4/100000)),"",IF(AND(T10="",U13="",U18=""),"",SUM(AB4:AD4)+(N4-O4)/1000)+(AK4/10000)+(AG4/100000))</f>
        <v>5.0076999999999998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Дарко Китановски (499)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100</v>
      </c>
      <c r="AH4" s="10">
        <f>F10+H10+J10+L10+N10+P10+R10</f>
        <v>33</v>
      </c>
      <c r="AI4" s="10">
        <f>G13+I13+K13+M13+O13+Q13+S13</f>
        <v>34</v>
      </c>
      <c r="AJ4" s="10">
        <f>G18+I18+K18+M18+O18+Q18+S18</f>
        <v>33</v>
      </c>
      <c r="AK4" s="436">
        <f t="shared" ref="AK4:AK6" si="2">SUM(AH4:AJ4)-SUM(AM4:AO4)</f>
        <v>27</v>
      </c>
      <c r="AL4" s="437"/>
      <c r="AM4" s="10">
        <f>AH6</f>
        <v>16</v>
      </c>
      <c r="AN4" s="10">
        <f>AI3</f>
        <v>40</v>
      </c>
      <c r="AO4" s="10">
        <f>AJ5</f>
        <v>17</v>
      </c>
      <c r="AP4" s="9">
        <f t="shared" ref="AP4:AP6" si="3">SUM(AM4:AO4)</f>
        <v>73</v>
      </c>
    </row>
    <row r="5" spans="2:47" ht="24" customHeight="1">
      <c r="B5" s="234">
        <v>3</v>
      </c>
      <c r="C5" s="461" t="str">
        <f>IF(GROUPS!D11="","",GROUPS!D11)</f>
        <v>Дарко Китановски (499)</v>
      </c>
      <c r="D5" s="461"/>
      <c r="E5" s="462"/>
      <c r="F5" s="232">
        <f>U9</f>
        <v>2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5</v>
      </c>
      <c r="O5" s="135">
        <f>IF(AND(U9="",T14="",T18=""),"",SUM(G5,I5,M5))</f>
        <v>6</v>
      </c>
      <c r="P5" s="136">
        <f>IF(AND(U9="",T14="",T18=""),"",AG5)</f>
        <v>96</v>
      </c>
      <c r="Q5" s="137">
        <f>IF(AND(U9="",T14="",T18=""),"",AP5)</f>
        <v>93</v>
      </c>
      <c r="R5" s="435">
        <f>IF(ISERROR(IF(AND(U9="",T14="",T18=""),"",SUM(AB5:AD5)+(N5-O5)/1000)+(AK5/10000)+(AG5/100000)),"",IF(AND(U9="",T14="",T18=""),"",SUM(AB5:AD5)+(N5-O5)/1000)+(AK5/10000)+(AG5/100000))</f>
        <v>4.0002599999999999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>Стефан Белџигеровски (501)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96</v>
      </c>
      <c r="AH5" s="10">
        <f>G9+I9+K9+M9+O9+Q9+S9</f>
        <v>46</v>
      </c>
      <c r="AI5" s="10">
        <f>F14+H14+J14+L14+N14+P14+R14</f>
        <v>33</v>
      </c>
      <c r="AJ5" s="10">
        <f>F18+H18+J18+L18+N18+P18+R18</f>
        <v>17</v>
      </c>
      <c r="AK5" s="436">
        <f t="shared" si="2"/>
        <v>3</v>
      </c>
      <c r="AL5" s="437"/>
      <c r="AM5" s="10">
        <f>AH3</f>
        <v>48</v>
      </c>
      <c r="AN5" s="10">
        <f>AI6</f>
        <v>12</v>
      </c>
      <c r="AO5" s="10">
        <f>AJ4</f>
        <v>33</v>
      </c>
      <c r="AP5" s="9">
        <f t="shared" si="3"/>
        <v>93</v>
      </c>
    </row>
    <row r="6" spans="2:47" ht="24" customHeight="1" thickBot="1">
      <c r="B6" s="235">
        <v>4</v>
      </c>
      <c r="C6" s="463" t="str">
        <f>IF(GROUPS!D12="","",GROUPS!D12)</f>
        <v>Стефан Белџигеровски (501)</v>
      </c>
      <c r="D6" s="463"/>
      <c r="E6" s="464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49</v>
      </c>
      <c r="Q6" s="151">
        <f>IF(AND(U10="",U14="",U17=""),"",AP6)</f>
        <v>99</v>
      </c>
      <c r="R6" s="444">
        <f>IF(ISERROR(IF(AND(U10="",U14="",U17=""),"",SUM(AB6:AD6)+(N6-O6)/1000)+(AK6/10000)+(AG6/100000)),"",IF(AND(U10="",U14="",U17=""),"",SUM(AB6:AD6)+(N6-O6)/1000)+(AK6/10000)+(AG6/100000))</f>
        <v>2.9864900000000003</v>
      </c>
      <c r="S6" s="444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49</v>
      </c>
      <c r="AH6" s="10">
        <f>G10+I10+K10+M10+O10+Q10+S10</f>
        <v>16</v>
      </c>
      <c r="AI6" s="10">
        <f>G14+I14+K14+M14+O14+Q14+S14</f>
        <v>12</v>
      </c>
      <c r="AJ6" s="10">
        <f>G17+I17+K17+M17+O17+Q17+S17</f>
        <v>21</v>
      </c>
      <c r="AK6" s="436">
        <f t="shared" si="2"/>
        <v>-50</v>
      </c>
      <c r="AL6" s="437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366</v>
      </c>
      <c r="Q7" s="153">
        <f>SUM(Q3:Q6)</f>
        <v>366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Борис Секулов (130)</v>
      </c>
      <c r="D9" s="156">
        <v>3</v>
      </c>
      <c r="E9" s="157" t="str">
        <f>IF(C5="","",VLOOKUP(D9,$B$3:$E$6,2,FALSE))</f>
        <v>Дарко Китановски (499)</v>
      </c>
      <c r="F9" s="158">
        <v>11</v>
      </c>
      <c r="G9" s="159">
        <v>9</v>
      </c>
      <c r="H9" s="160">
        <v>12</v>
      </c>
      <c r="I9" s="159">
        <v>10</v>
      </c>
      <c r="J9" s="158">
        <v>9</v>
      </c>
      <c r="K9" s="161">
        <v>11</v>
      </c>
      <c r="L9" s="160">
        <v>5</v>
      </c>
      <c r="M9" s="159">
        <v>11</v>
      </c>
      <c r="N9" s="158">
        <v>11</v>
      </c>
      <c r="O9" s="161">
        <v>5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Љупчо Треновски (404)</v>
      </c>
      <c r="D10" s="166">
        <v>4</v>
      </c>
      <c r="E10" s="167" t="str">
        <f>IF(C6="","",VLOOKUP(D10,$B$3:$E$6,2,FALSE))</f>
        <v>Стефан Белџигеровски (501)</v>
      </c>
      <c r="F10" s="168">
        <v>11</v>
      </c>
      <c r="G10" s="169">
        <v>4</v>
      </c>
      <c r="H10" s="170">
        <v>11</v>
      </c>
      <c r="I10" s="169">
        <v>9</v>
      </c>
      <c r="J10" s="168">
        <v>11</v>
      </c>
      <c r="K10" s="171">
        <v>3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Борис Секулов (130)</v>
      </c>
      <c r="D13" s="156">
        <v>2</v>
      </c>
      <c r="E13" s="157" t="str">
        <f>IF(C4="","",VLOOKUP(D13,$B$3:$E$6,2,FALSE))</f>
        <v>Љупчо Треновски (404)</v>
      </c>
      <c r="F13" s="158">
        <v>11</v>
      </c>
      <c r="G13" s="159">
        <v>9</v>
      </c>
      <c r="H13" s="160">
        <v>11</v>
      </c>
      <c r="I13" s="159">
        <v>7</v>
      </c>
      <c r="J13" s="158">
        <v>7</v>
      </c>
      <c r="K13" s="161">
        <v>11</v>
      </c>
      <c r="L13" s="160">
        <v>11</v>
      </c>
      <c r="M13" s="159">
        <v>7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Дарко Китановски (499)</v>
      </c>
      <c r="D14" s="166">
        <v>4</v>
      </c>
      <c r="E14" s="167" t="str">
        <f>IF(C6="","",VLOOKUP(D14,$B$3:$E$6,2,FALSE))</f>
        <v>Стефан Белџигеровски (501)</v>
      </c>
      <c r="F14" s="168">
        <v>11</v>
      </c>
      <c r="G14" s="169">
        <v>4</v>
      </c>
      <c r="H14" s="170">
        <v>11</v>
      </c>
      <c r="I14" s="169">
        <v>5</v>
      </c>
      <c r="J14" s="168">
        <v>11</v>
      </c>
      <c r="K14" s="171">
        <v>3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Борис Секулов (130)</v>
      </c>
      <c r="D17" s="156">
        <v>4</v>
      </c>
      <c r="E17" s="157" t="str">
        <f>IF(C6="","",VLOOKUP(D17,$B$3:$E$6,2,FALSE))</f>
        <v>Стефан Белџигеровски (501)</v>
      </c>
      <c r="F17" s="158">
        <v>11</v>
      </c>
      <c r="G17" s="159">
        <v>8</v>
      </c>
      <c r="H17" s="160">
        <v>11</v>
      </c>
      <c r="I17" s="159">
        <v>7</v>
      </c>
      <c r="J17" s="158">
        <v>11</v>
      </c>
      <c r="K17" s="161">
        <v>6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Дарко Китановски (499)</v>
      </c>
      <c r="D18" s="166">
        <v>2</v>
      </c>
      <c r="E18" s="167" t="str">
        <f>IF(C4="","",VLOOKUP(D18,$B$3:$E$6,2,FALSE))</f>
        <v>Љупчо Треновски (404)</v>
      </c>
      <c r="F18" s="168">
        <v>6</v>
      </c>
      <c r="G18" s="169">
        <v>11</v>
      </c>
      <c r="H18" s="170">
        <v>5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Андреј Стојановски (47)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IF(GROUPS!F9="","",GROUPS!F9)</f>
        <v>Андреј Васевски (203)</v>
      </c>
      <c r="D3" s="433"/>
      <c r="E3" s="434"/>
      <c r="F3" s="128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90</v>
      </c>
      <c r="Q3" s="137">
        <f>IF(AND(T9="",T13="",T17=""),"",AP3)</f>
        <v>55</v>
      </c>
      <c r="R3" s="435">
        <f>IF(ISERROR(IF(AND(T9="",T13="",T17=""),"",SUM(AB3:AD3)+(N3-O3)/1000)+(AK3/10000)),"",IF(AND(T9="",T13="",T17=""),"",SUM(AB3:AD3)+(N3-O3)/1000)+(AK3/10000)+(AG3/100000))</f>
        <v>5.0073999999999996</v>
      </c>
      <c r="S3" s="435"/>
      <c r="T3" s="138">
        <f>IF(ISERROR(IF(C3="","",RANK(R3,$R$3:$S$6,0))),"",IF(C3="","",RANK(R3,$R$3:$S$6,0)))</f>
        <v>2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Андреј Васевски (203)</v>
      </c>
      <c r="Y3" s="428"/>
      <c r="Z3" s="429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90</v>
      </c>
      <c r="AH3" s="10">
        <f>F9+H9+J9+L9+N9+P9+R9</f>
        <v>33</v>
      </c>
      <c r="AI3" s="10">
        <f>F13+H13+J13+L13+N13+P13+R13</f>
        <v>24</v>
      </c>
      <c r="AJ3" s="10">
        <f>F17+H17+J17+L17+N17+P17+R17</f>
        <v>33</v>
      </c>
      <c r="AK3" s="436">
        <f>SUM(AH3:AJ3)-SUM(AM3:AO3)</f>
        <v>35</v>
      </c>
      <c r="AL3" s="437"/>
      <c r="AM3" s="10">
        <f>AH5</f>
        <v>9</v>
      </c>
      <c r="AN3" s="10">
        <f>AI4</f>
        <v>34</v>
      </c>
      <c r="AO3" s="10">
        <f>AJ6</f>
        <v>12</v>
      </c>
      <c r="AP3" s="9">
        <f>SUM(AM3:AO3)</f>
        <v>55</v>
      </c>
    </row>
    <row r="4" spans="2:47" ht="24" customHeight="1">
      <c r="B4" s="127">
        <v>2</v>
      </c>
      <c r="C4" s="432" t="str">
        <f>IF(GROUPS!F10="","",GROUPS!F10)</f>
        <v>Андреј Стојановски (47)</v>
      </c>
      <c r="D4" s="433"/>
      <c r="E4" s="434"/>
      <c r="F4" s="139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0</v>
      </c>
      <c r="P4" s="136">
        <f>IF(AND(T10="",U13="",U18=""),"",AG4)</f>
        <v>102</v>
      </c>
      <c r="Q4" s="137">
        <f>IF(AND(T10="",U13="",U18=""),"",AP4)</f>
        <v>62</v>
      </c>
      <c r="R4" s="435">
        <f>IF(ISERROR(IF(AND(T10="",U13="",U18=""),"",SUM(AB4:AD4)+(N4-O4)/1000)+(AK4/10000)+(AG4/100000)),"",IF(AND(T10="",U13="",U18=""),"",SUM(AB4:AD4)+(N4-O4)/1000)+(AK4/10000)+(AG4/100000))</f>
        <v>6.0140199999999995</v>
      </c>
      <c r="S4" s="435"/>
      <c r="T4" s="138">
        <f>IF(ISERROR(IF(C4="","",RANK(R4,$R$3:$S$6,0))),"",IF(C4="","",RANK(R4,$R$3:$S$6,0)))</f>
        <v>1</v>
      </c>
      <c r="U4" s="9"/>
      <c r="V4" s="9"/>
      <c r="W4" s="7">
        <v>3</v>
      </c>
      <c r="X4" s="438" t="str">
        <f t="shared" si="0"/>
        <v>Марко Китановски (500)</v>
      </c>
      <c r="Y4" s="439"/>
      <c r="Z4" s="440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102</v>
      </c>
      <c r="AH4" s="10">
        <f>F10+H10+J10+L10+N10+P10+R10</f>
        <v>33</v>
      </c>
      <c r="AI4" s="10">
        <f>G13+I13+K13+M13+O13+Q13+S13</f>
        <v>34</v>
      </c>
      <c r="AJ4" s="10">
        <f>G18+I18+K18+M18+O18+Q18+S18</f>
        <v>35</v>
      </c>
      <c r="AK4" s="436">
        <f t="shared" ref="AK4:AK6" si="2">SUM(AH4:AJ4)-SUM(AM4:AO4)</f>
        <v>40</v>
      </c>
      <c r="AL4" s="437"/>
      <c r="AM4" s="10">
        <f>AH6</f>
        <v>14</v>
      </c>
      <c r="AN4" s="10">
        <f>AI3</f>
        <v>24</v>
      </c>
      <c r="AO4" s="10">
        <f>AJ5</f>
        <v>24</v>
      </c>
      <c r="AP4" s="9">
        <f t="shared" ref="AP4:AP6" si="3">SUM(AM4:AO4)</f>
        <v>62</v>
      </c>
    </row>
    <row r="5" spans="2:47" ht="24" customHeight="1">
      <c r="B5" s="127">
        <v>3</v>
      </c>
      <c r="C5" s="432" t="str">
        <f>IF(GROUPS!F11="","",GROUPS!F11)</f>
        <v>Андреј Бејковски (440)</v>
      </c>
      <c r="D5" s="433"/>
      <c r="E5" s="43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60</v>
      </c>
      <c r="Q5" s="137">
        <f>IF(AND(U9="",T14="",T18=""),"",AP5)</f>
        <v>109</v>
      </c>
      <c r="R5" s="435">
        <f>IF(ISERROR(IF(AND(U9="",T14="",T18=""),"",SUM(AB5:AD5)+(N5-O5)/1000)+(AK5/10000)+(AG5/100000)),"",IF(AND(U9="",T14="",T18=""),"",SUM(AB5:AD5)+(N5-O5)/1000)+(AK5/10000)+(AG5/100000))</f>
        <v>2.9876999999999998</v>
      </c>
      <c r="S5" s="435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Андреј Бејковски (440)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60</v>
      </c>
      <c r="AH5" s="10">
        <f>G9+I9+K9+M9+O9+Q9+S9</f>
        <v>9</v>
      </c>
      <c r="AI5" s="10">
        <f>F14+H14+J14+L14+N14+P14+R14</f>
        <v>27</v>
      </c>
      <c r="AJ5" s="10">
        <f>F18+H18+J18+L18+N18+P18+R18</f>
        <v>24</v>
      </c>
      <c r="AK5" s="436">
        <f t="shared" si="2"/>
        <v>-49</v>
      </c>
      <c r="AL5" s="437"/>
      <c r="AM5" s="10">
        <f>AH3</f>
        <v>33</v>
      </c>
      <c r="AN5" s="10">
        <f>AI6</f>
        <v>41</v>
      </c>
      <c r="AO5" s="10">
        <f>AJ4</f>
        <v>35</v>
      </c>
      <c r="AP5" s="9">
        <f t="shared" si="3"/>
        <v>109</v>
      </c>
    </row>
    <row r="6" spans="2:47" ht="24" customHeight="1" thickBot="1">
      <c r="B6" s="142">
        <v>4</v>
      </c>
      <c r="C6" s="441" t="str">
        <f>IF(GROUPS!F12="","",GROUPS!F12)</f>
        <v>Марко Китановски (500)</v>
      </c>
      <c r="D6" s="442"/>
      <c r="E6" s="443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7</v>
      </c>
      <c r="P6" s="150">
        <f>IF(AND(U10="",U14="",U17=""),"",AG6)</f>
        <v>67</v>
      </c>
      <c r="Q6" s="151">
        <f>IF(AND(U10="",U14="",U17=""),"",AP6)</f>
        <v>93</v>
      </c>
      <c r="R6" s="444">
        <f>IF(ISERROR(IF(AND(U10="",U14="",U17=""),"",SUM(AB6:AD6)+(N6-O6)/1000)+(AK6/10000)+(AG6/100000)),"",IF(AND(U10="",U14="",U17=""),"",SUM(AB6:AD6)+(N6-O6)/1000)+(AK6/10000)+(AG6/100000))</f>
        <v>3.9940699999999998</v>
      </c>
      <c r="S6" s="444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67</v>
      </c>
      <c r="AH6" s="10">
        <f>G10+I10+K10+M10+O10+Q10+S10</f>
        <v>14</v>
      </c>
      <c r="AI6" s="10">
        <f>G14+I14+K14+M14+O14+Q14+S14</f>
        <v>41</v>
      </c>
      <c r="AJ6" s="10">
        <f>G17+I17+K17+M17+O17+Q17+S17</f>
        <v>12</v>
      </c>
      <c r="AK6" s="436">
        <f t="shared" si="2"/>
        <v>-26</v>
      </c>
      <c r="AL6" s="437"/>
      <c r="AM6" s="10">
        <f>AH4</f>
        <v>33</v>
      </c>
      <c r="AN6" s="10">
        <f>AI5</f>
        <v>27</v>
      </c>
      <c r="AO6" s="10">
        <f>AJ3</f>
        <v>33</v>
      </c>
      <c r="AP6" s="9">
        <f t="shared" si="3"/>
        <v>93</v>
      </c>
    </row>
    <row r="7" spans="2:47" ht="19.5" thickBot="1">
      <c r="P7" s="153">
        <f>SUM(P3:P6)</f>
        <v>319</v>
      </c>
      <c r="Q7" s="153">
        <f>SUM(Q3:Q6)</f>
        <v>319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Андреј Васевски (203)</v>
      </c>
      <c r="D9" s="156">
        <v>3</v>
      </c>
      <c r="E9" s="157" t="str">
        <f>IF(C5="","",VLOOKUP(D9,$B$3:$E$6,2,FALSE))</f>
        <v>Андреј Бејковски (440)</v>
      </c>
      <c r="F9" s="158">
        <v>11</v>
      </c>
      <c r="G9" s="159">
        <v>2</v>
      </c>
      <c r="H9" s="160">
        <v>11</v>
      </c>
      <c r="I9" s="159">
        <v>1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Стојановски (47)</v>
      </c>
      <c r="D10" s="166">
        <v>4</v>
      </c>
      <c r="E10" s="167" t="str">
        <f>IF(C6="","",VLOOKUP(D10,$B$3:$E$6,2,FALSE))</f>
        <v>Марко Китановски (500)</v>
      </c>
      <c r="F10" s="168">
        <v>11</v>
      </c>
      <c r="G10" s="169">
        <v>6</v>
      </c>
      <c r="H10" s="170">
        <v>11</v>
      </c>
      <c r="I10" s="169">
        <v>3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Андреј Васевски (203)</v>
      </c>
      <c r="D13" s="156">
        <v>2</v>
      </c>
      <c r="E13" s="157" t="str">
        <f>IF(C4="","",VLOOKUP(D13,$B$3:$E$6,2,FALSE))</f>
        <v>Андреј Стојановски (47)</v>
      </c>
      <c r="F13" s="158">
        <v>10</v>
      </c>
      <c r="G13" s="159">
        <v>12</v>
      </c>
      <c r="H13" s="160">
        <v>8</v>
      </c>
      <c r="I13" s="159">
        <v>11</v>
      </c>
      <c r="J13" s="158">
        <v>6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>Марко Китановски (500)</v>
      </c>
      <c r="F14" s="168">
        <v>4</v>
      </c>
      <c r="G14" s="169">
        <v>11</v>
      </c>
      <c r="H14" s="170">
        <v>11</v>
      </c>
      <c r="I14" s="169">
        <v>8</v>
      </c>
      <c r="J14" s="168">
        <v>9</v>
      </c>
      <c r="K14" s="171">
        <v>11</v>
      </c>
      <c r="L14" s="170">
        <v>3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Андреј Васевски (203)</v>
      </c>
      <c r="D17" s="156">
        <v>4</v>
      </c>
      <c r="E17" s="157" t="str">
        <f>IF(C6="","",VLOOKUP(D17,$B$3:$E$6,2,FALSE))</f>
        <v>Марко Китановски (500)</v>
      </c>
      <c r="F17" s="158">
        <v>11</v>
      </c>
      <c r="G17" s="159">
        <v>4</v>
      </c>
      <c r="H17" s="160">
        <v>11</v>
      </c>
      <c r="I17" s="159">
        <v>3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Андреј Стојановски (47)</v>
      </c>
      <c r="F18" s="168">
        <v>5</v>
      </c>
      <c r="G18" s="169">
        <v>11</v>
      </c>
      <c r="H18" s="170">
        <v>11</v>
      </c>
      <c r="I18" s="169">
        <v>13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IF(GROUPS!H9="","",GROUPS!H9)</f>
        <v/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IF(GROUPS!H10="","",GROUPS!H10)</f>
        <v/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IF(GROUPS!H11="","",GROUPS!H11)</f>
        <v/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IF(GROUPS!H12="","",GROUPS!H12)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IF(GROUPS!J9="","",GROUPS!J9)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IF(GROUPS!J10="","",GROUPS!J10)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IF(GROUPS!J11="","",GROUPS!J11)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IF(GROUPS!J12="","",GROUPS!J12)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IF(GROUPS!D14="","",GROUPS!D14)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IF(GROUPS!D15="","",GROUPS!D15)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IF(GROUPS!D16="","",GROUPS!D16)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IF(GROUPS!D17="","",GROUPS!D17)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IF(GROUPS!F14="","",GROUPS!F14)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IF(GROUPS!F15="","",GROUPS!F15)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IF(GROUPS!F16="","",GROUPS!F16)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IF(GROUPS!F17="","",GROUPS!F17)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IF(GROUPS!H14="","",GROUPS!H14)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IF(GROUPS!H15="","",GROUPS!H15)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IF(GROUPS!H16="","",GROUPS!H16)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IF(GROUPS!H17="","",GROUPS!H17)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IF(GROUPS!J14="","",GROUPS!J14)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IF(GROUPS!J15="","",GROUPS!J15)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IF(GROUPS!J16="","",GROUPS!J16)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IF(GROUPS!J17="","",GROUPS!J17)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IF(GROUPS!D19="","",GROUPS!D19)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IF(GROUPS!D20="","",GROUPS!D20)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IF(GROUPS!D21="","",GROUPS!D21)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IF(GROUPS!D22="","",GROUPS!D22)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IF(GROUPS!F19="","",GROUPS!F19)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IF(GROUPS!F20="","",GROUPS!F20)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IF(GROUPS!F21="","",GROUPS!F21)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IF(GROUPS!F22="","",GROUPS!F22)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IF(GROUPS!H19="","",GROUPS!H19)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IF(GROUPS!H20="","",GROUPS!H20)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IF(GROUPS!H21="","",GROUPS!H21)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IF(GROUPS!H22="","",GROUPS!H22)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IF(GROUPS!J19="","",GROUPS!J19)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IF(GROUPS!J20="","",GROUPS!J20)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IF(GROUPS!J21="","",GROUPS!J21)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IF(GROUPS!J22="","",GROUPS!J22)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6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Александар Јакимовски (178)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Кристијан Каламадевски (347)</v>
      </c>
    </row>
    <row r="5" spans="2:42" ht="15.75">
      <c r="B5" s="252" t="s">
        <v>27</v>
      </c>
      <c r="C5" s="244">
        <v>3</v>
      </c>
      <c r="D5" s="245" t="str">
        <f>IF(' II'!$X$2="","",' II'!$X$2)</f>
        <v>Нико Доага (190)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Филип Ангела (299)</v>
      </c>
    </row>
    <row r="7" spans="2:42" ht="15.75">
      <c r="B7" s="246" t="s">
        <v>29</v>
      </c>
      <c r="C7" s="247">
        <v>5</v>
      </c>
      <c r="D7" s="241" t="str">
        <f>IF(' III'!$X$2="","",' III'!$X$2)</f>
        <v>Даниел Главевски Зхоу  (108)</v>
      </c>
      <c r="F7" s="295">
        <v>1</v>
      </c>
      <c r="G7" s="122" t="str">
        <f>IF(F7="","",VLOOKUP(F7,$C$3:$D$8,2,FALSE))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Томе Милев (131)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Александар Јакимовски (178)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78" t="str">
        <f>IF(AJ25="","",IF(AJ25&gt;AJ26,AB25,AB26))</f>
        <v/>
      </c>
    </row>
    <row r="16" spans="2:42" ht="15.75">
      <c r="C16" s="78"/>
      <c r="D16" s="74"/>
      <c r="P16" s="102"/>
      <c r="Y16" s="106"/>
      <c r="AM16" s="478" t="str">
        <f>IF(AJ25="","",IF(AJ25&lt;AJ26,AB25,AB26))</f>
        <v/>
      </c>
      <c r="AN16" s="478"/>
      <c r="AO16" s="479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78"/>
      <c r="AN17" s="478"/>
      <c r="AO17" s="479"/>
      <c r="AP17" s="42"/>
    </row>
    <row r="18" spans="3:42" ht="15.75">
      <c r="C18" s="78"/>
      <c r="D18" s="74"/>
      <c r="P18" s="102"/>
      <c r="Y18" s="106"/>
      <c r="AJ18" s="34"/>
      <c r="AM18" s="478"/>
      <c r="AO18" s="479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0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2" t="s">
        <v>58</v>
      </c>
      <c r="AO20" s="480"/>
    </row>
    <row r="21" spans="3:42" ht="16.5" thickBot="1">
      <c r="C21" s="78"/>
      <c r="D21" s="74"/>
      <c r="Y21" s="106"/>
      <c r="AK21" s="49"/>
      <c r="AL21" s="49"/>
      <c r="AM21" s="485" t="s">
        <v>59</v>
      </c>
      <c r="AN21" s="483"/>
      <c r="AO21" s="481"/>
      <c r="AP21" s="42"/>
    </row>
    <row r="22" spans="3:42" ht="15.75">
      <c r="C22" s="78"/>
      <c r="D22" s="74"/>
      <c r="Y22" s="106"/>
      <c r="AK22" s="49"/>
      <c r="AL22" s="49"/>
      <c r="AM22" s="486"/>
      <c r="AN22" s="483"/>
      <c r="AO22" s="488" t="s">
        <v>60</v>
      </c>
    </row>
    <row r="23" spans="3:42" ht="16.5" thickBot="1">
      <c r="C23" s="78"/>
      <c r="D23" s="74"/>
      <c r="Y23" s="106"/>
      <c r="AK23" s="49"/>
      <c r="AL23" s="49"/>
      <c r="AM23" s="487"/>
      <c r="AN23" s="484"/>
      <c r="AO23" s="489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8" t="str">
        <f>IF(O43="","",IF(O43&lt;O44,G43,G44))</f>
        <v/>
      </c>
      <c r="AO35" s="498"/>
      <c r="AP35" s="498"/>
    </row>
    <row r="36" spans="3:42">
      <c r="P36" s="102"/>
      <c r="Y36" s="107"/>
      <c r="AK36" s="49"/>
      <c r="AL36" s="190"/>
      <c r="AM36" s="191"/>
      <c r="AN36" s="499"/>
      <c r="AO36" s="499"/>
      <c r="AP36" s="499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G44</f>
        <v>Нико Доага (190)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>
      <c r="C41" s="42"/>
      <c r="D41" s="42"/>
      <c r="O41" s="34"/>
      <c r="P41" s="102"/>
      <c r="AK41" s="49"/>
      <c r="AL41" s="189"/>
      <c r="AM41" s="75"/>
      <c r="AN41" s="490"/>
      <c r="AO41" s="490"/>
      <c r="AP41" s="490"/>
    </row>
    <row r="42" spans="3:42">
      <c r="E42" s="48"/>
      <c r="O42" s="34"/>
      <c r="P42" s="102"/>
      <c r="AK42" s="49"/>
      <c r="AL42" s="189"/>
      <c r="AM42" s="75"/>
      <c r="AN42" s="490"/>
      <c r="AO42" s="490"/>
      <c r="AP42" s="490"/>
    </row>
    <row r="43" spans="3:42">
      <c r="E43" s="48"/>
      <c r="O43" s="296"/>
      <c r="AK43" s="49"/>
      <c r="AL43" s="189"/>
      <c r="AM43" s="75"/>
      <c r="AN43" s="490"/>
      <c r="AO43" s="490"/>
      <c r="AP43" s="490"/>
    </row>
    <row r="44" spans="3:42">
      <c r="E44" s="48"/>
      <c r="F44" s="295">
        <v>3</v>
      </c>
      <c r="G44" s="122" t="str">
        <f>IF(F44="","",VLOOKUP(F44,$C$3:$D$8,2,FALSE))</f>
        <v>Нико Доага (190)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0"/>
      <c r="AO50" s="490"/>
      <c r="AP50" s="490"/>
    </row>
    <row r="51" spans="3:42">
      <c r="AM51" s="75"/>
      <c r="AN51" s="490"/>
      <c r="AO51" s="490"/>
      <c r="AP51" s="490"/>
    </row>
    <row r="52" spans="3:42">
      <c r="AM52" s="75"/>
      <c r="AN52" s="490"/>
      <c r="AO52" s="490"/>
      <c r="AP52" s="49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0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Кристијан Каламадевски (347)</v>
      </c>
    </row>
    <row r="5" spans="2:47" ht="15.75">
      <c r="B5" s="64" t="s">
        <v>27</v>
      </c>
      <c r="C5" s="64">
        <v>3</v>
      </c>
      <c r="D5" s="29" t="str">
        <f>IF(' II'!$X$2="","",' II'!$X$2)</f>
        <v>Нико Доага (190)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Филип Ангела (299)</v>
      </c>
    </row>
    <row r="7" spans="2:47" ht="15.75">
      <c r="B7" s="64" t="s">
        <v>29</v>
      </c>
      <c r="C7" s="64">
        <v>5</v>
      </c>
      <c r="D7" s="25" t="str">
        <f>IF(' III'!$X$2="","",' III'!$X$2)</f>
        <v>Даниел Главевски Зхоу  (108)</v>
      </c>
      <c r="F7" s="357">
        <v>1</v>
      </c>
      <c r="G7" s="177" t="str">
        <f>IF(F7="","",VLOOKUP(F7,$C$3:$D$10,2,FALSE))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Томе Милев (131)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Лука Стојчев (73)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Антонио Аврамски (144)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78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78" t="str">
        <f>IF(AJ25="","",IF(AJ25&lt;AJ26,AB25,AB26))</f>
        <v/>
      </c>
      <c r="AN16" s="478"/>
      <c r="AO16" s="479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8"/>
      <c r="AN17" s="478"/>
      <c r="AO17" s="479"/>
    </row>
    <row r="18" spans="1:42" ht="15.75">
      <c r="B18" s="78"/>
      <c r="C18" s="78"/>
      <c r="D18" s="74"/>
      <c r="P18" s="102"/>
      <c r="Y18" s="106"/>
      <c r="AJ18" s="34"/>
      <c r="AM18" s="478"/>
      <c r="AO18" s="479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0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2" t="s">
        <v>58</v>
      </c>
      <c r="AO20" s="480"/>
    </row>
    <row r="21" spans="1:42" s="42" customFormat="1" ht="16.149999999999999" customHeight="1" thickBot="1">
      <c r="A21" s="49"/>
      <c r="B21" s="49"/>
      <c r="C21" s="501" t="s">
        <v>609</v>
      </c>
      <c r="D21" s="501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5" t="s">
        <v>59</v>
      </c>
      <c r="AN21" s="483"/>
      <c r="AO21" s="481"/>
    </row>
    <row r="22" spans="1:42" ht="15.6" customHeight="1">
      <c r="A22" s="49"/>
      <c r="B22" s="49"/>
      <c r="C22" s="501"/>
      <c r="D22" s="501"/>
      <c r="Y22" s="106"/>
      <c r="AK22" s="49"/>
      <c r="AL22" s="49"/>
      <c r="AM22" s="486"/>
      <c r="AN22" s="483"/>
      <c r="AO22" s="488" t="s">
        <v>60</v>
      </c>
    </row>
    <row r="23" spans="1:42" ht="16.149999999999999" customHeight="1" thickBot="1">
      <c r="A23" s="49"/>
      <c r="B23" s="49"/>
      <c r="C23" s="501"/>
      <c r="D23" s="501"/>
      <c r="Y23" s="106"/>
      <c r="AK23" s="49"/>
      <c r="AL23" s="49"/>
      <c r="AM23" s="487"/>
      <c r="AN23" s="484"/>
      <c r="AO23" s="489"/>
    </row>
    <row r="24" spans="1:42" ht="15.6" customHeight="1">
      <c r="A24" s="49"/>
      <c r="B24" s="49"/>
      <c r="C24" s="501"/>
      <c r="D24" s="501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7" t="str">
        <f>IF(O43="","",IF(O43&lt;O44,G43,G44))</f>
        <v/>
      </c>
      <c r="AO35" s="497"/>
      <c r="AP35" s="497"/>
    </row>
    <row r="36" spans="3:42">
      <c r="P36" s="102"/>
      <c r="Y36" s="107"/>
      <c r="AK36" s="49"/>
      <c r="AL36" s="189"/>
      <c r="AM36" s="75"/>
      <c r="AN36" s="490"/>
      <c r="AO36" s="490"/>
      <c r="AP36" s="49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0"/>
      <c r="AO41" s="490"/>
      <c r="AP41" s="490"/>
    </row>
    <row r="42" spans="3:42">
      <c r="O42" s="34"/>
      <c r="P42" s="102"/>
      <c r="AK42" s="49"/>
      <c r="AL42" s="189"/>
      <c r="AM42" s="75"/>
      <c r="AN42" s="490"/>
      <c r="AO42" s="490"/>
      <c r="AP42" s="490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0"/>
      <c r="AO43" s="490"/>
      <c r="AP43" s="490"/>
    </row>
    <row r="44" spans="3:42">
      <c r="F44" s="357">
        <v>3</v>
      </c>
      <c r="G44" s="177" t="str">
        <f>IF(F44="","",VLOOKUP(F44,$C$3:$D$10,2,FALSE))</f>
        <v>Нико Доага (190)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0"/>
      <c r="AO50" s="490"/>
      <c r="AP50" s="490"/>
    </row>
    <row r="51" spans="6:42">
      <c r="AM51" s="75"/>
      <c r="AN51" s="490"/>
      <c r="AO51" s="490"/>
      <c r="AP51" s="490"/>
    </row>
    <row r="52" spans="6:42">
      <c r="AM52" s="75"/>
      <c r="AN52" s="490"/>
      <c r="AO52" s="490"/>
      <c r="AP52" s="490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abSelected="1" topLeftCell="U18" workbookViewId="0">
      <selection activeCell="AQ26" sqref="AQ26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6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Александар Јакимовски (178)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Кристијан Каламадевски (347)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Нико Доага (190)</v>
      </c>
      <c r="F5" s="181">
        <v>1</v>
      </c>
      <c r="G5" s="182" t="str">
        <f>IF(F5="","",VLOOKUP(F5,$C$3:$D$18,2,FALSE))</f>
        <v>Александар Јакимовски (178)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Филип Ангела (299)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Даниел Главевски Зхоу  (108)</v>
      </c>
      <c r="F7" s="179"/>
      <c r="P7" s="102"/>
      <c r="Q7" s="122" t="str">
        <f>G5</f>
        <v>Александар Јакимовски (178)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Томе Милев (131)</v>
      </c>
      <c r="F8" s="179"/>
      <c r="P8" s="108"/>
      <c r="Q8" s="122" t="str">
        <f>IF(O10="","",IF(O10&gt;O11,G10,G11))</f>
        <v>Филип Ангела (299)</v>
      </c>
      <c r="R8" s="101">
        <v>2</v>
      </c>
      <c r="S8" s="101">
        <v>5</v>
      </c>
      <c r="T8" s="101">
        <v>9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245" t="str">
        <f>IF(IV!$X$2="","",IV!$X$2)</f>
        <v>Лука Стојчев (73)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Антонио Аврамски (144)</v>
      </c>
      <c r="F10" s="178">
        <v>8</v>
      </c>
      <c r="G10" s="177" t="str">
        <f>IF(F10="","",VLOOKUP(F10,$C$3:$D$18,2,FALSE))</f>
        <v>Антонио Аврамски (144)</v>
      </c>
      <c r="H10" s="101">
        <v>6</v>
      </c>
      <c r="I10" s="101">
        <v>10</v>
      </c>
      <c r="J10" s="101">
        <v>13</v>
      </c>
      <c r="K10" s="101"/>
      <c r="L10" s="101"/>
      <c r="M10" s="101"/>
      <c r="N10" s="101"/>
      <c r="O10" s="19">
        <f>IF(H10="","",SUMPRODUCT(--(H10:N10&gt;H11:N11)))</f>
        <v>0</v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Борис Секулов (130)</v>
      </c>
      <c r="F11" s="180">
        <v>4</v>
      </c>
      <c r="G11" s="177" t="str">
        <f>IF(F11="","",VLOOKUP(F11,$C$3:$D$18,2,FALSE))</f>
        <v>Филип Ангела (299)</v>
      </c>
      <c r="H11" s="101">
        <v>11</v>
      </c>
      <c r="I11" s="101">
        <v>12</v>
      </c>
      <c r="J11" s="101">
        <v>15</v>
      </c>
      <c r="K11" s="101"/>
      <c r="L11" s="101"/>
      <c r="M11" s="101"/>
      <c r="N11" s="101"/>
      <c r="O11" s="19">
        <f>IF(H10="","",SUMPRODUCT(--(H10:N10&lt;H11:N11)))</f>
        <v>3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Љупчо Треновски (404)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Андреј Стојановски (47)</v>
      </c>
      <c r="F13" s="179"/>
      <c r="O13" s="34"/>
      <c r="Z13" s="102"/>
      <c r="AA13" s="121" t="str">
        <f>IF(Y7="","",IF(Y7&gt;Y8,Q7,Q8))</f>
        <v>Александар Јакимовски (178)</v>
      </c>
      <c r="AB13" s="101">
        <v>11</v>
      </c>
      <c r="AC13" s="101">
        <v>11</v>
      </c>
      <c r="AD13" s="101">
        <v>7</v>
      </c>
      <c r="AE13" s="101">
        <v>4</v>
      </c>
      <c r="AF13" s="101">
        <v>11</v>
      </c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Андреј Васевски (203)</v>
      </c>
      <c r="F14" s="179"/>
      <c r="O14" s="34"/>
      <c r="Z14" s="108"/>
      <c r="AA14" s="121" t="str">
        <f>IF(Y19="","",IF(Y19&gt;Y20,Q19,Q20))</f>
        <v>Даниел Главевски Зхоу  (108)</v>
      </c>
      <c r="AB14" s="101">
        <v>6</v>
      </c>
      <c r="AC14" s="101">
        <v>6</v>
      </c>
      <c r="AD14" s="101">
        <v>11</v>
      </c>
      <c r="AE14" s="101">
        <v>11</v>
      </c>
      <c r="AF14" s="101">
        <v>9</v>
      </c>
      <c r="AG14" s="101"/>
      <c r="AH14" s="101"/>
      <c r="AI14" s="19">
        <f>IF(AB13="","",SUMPRODUCT(--(AB13:AH13&lt;AB14:AH14)))</f>
        <v>2</v>
      </c>
      <c r="AJ14" s="41"/>
    </row>
    <row r="15" spans="2:52" ht="15.75">
      <c r="C15" s="78"/>
      <c r="D15" s="74"/>
      <c r="F15" s="179"/>
      <c r="Z15" s="102"/>
      <c r="AI15" s="105"/>
      <c r="AX15" s="478" t="str">
        <f>IF(AT25="","",IF(AT25&gt;AT26,AL25,AL26))</f>
        <v>Нико Доага (190)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8" t="str">
        <f>IF(AT25="","",IF(AT25&lt;AT26,AL25,AL26))</f>
        <v>Александар Јакимовски (178)</v>
      </c>
      <c r="AX16" s="478"/>
      <c r="AY16" s="479" t="str">
        <f>IF(AT25=AT26,"",IF(AT34=AT35,AL34,IF(AT34&gt;AT35,AL34,AL35)))</f>
        <v>Даниел Главевски Зхоу  (108)</v>
      </c>
    </row>
    <row r="17" spans="3:52" ht="15.75">
      <c r="C17" s="78"/>
      <c r="D17" s="74"/>
      <c r="E17" t="s">
        <v>711</v>
      </c>
      <c r="F17" s="181">
        <v>11</v>
      </c>
      <c r="G17" s="182" t="str">
        <f>IF(F17="","",VLOOKUP(F17,$C$3:$D$18,2,FALSE))</f>
        <v>Андреј Стојановски (47)</v>
      </c>
      <c r="H17" s="183">
        <v>11</v>
      </c>
      <c r="I17" s="183">
        <v>11</v>
      </c>
      <c r="J17" s="183">
        <v>11</v>
      </c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8"/>
      <c r="AX17" s="478"/>
      <c r="AY17" s="479"/>
      <c r="AZ17" s="42"/>
    </row>
    <row r="18" spans="3:52" ht="15.75">
      <c r="C18" s="78"/>
      <c r="D18" s="74"/>
      <c r="F18" s="178">
        <v>10</v>
      </c>
      <c r="G18" s="177" t="str">
        <f>IF(F18="","",VLOOKUP(F18,$C$3:$D$18,2,FALSE))</f>
        <v>Љупчо Треновски (404)</v>
      </c>
      <c r="H18" s="101">
        <v>3</v>
      </c>
      <c r="I18" s="101">
        <v>6</v>
      </c>
      <c r="J18" s="101">
        <v>6</v>
      </c>
      <c r="K18" s="101"/>
      <c r="L18" s="101"/>
      <c r="M18" s="101"/>
      <c r="N18" s="101"/>
      <c r="O18" s="19">
        <f>IF(H18="","",SUMPRODUCT(--(H18:N18&gt;H19:N19)))</f>
        <v>3</v>
      </c>
      <c r="P18" s="102"/>
      <c r="Z18" s="102"/>
      <c r="AI18" s="106"/>
      <c r="AT18" s="34"/>
      <c r="AW18" s="478"/>
      <c r="AY18" s="479"/>
    </row>
    <row r="19" spans="3:52" ht="16.5" thickBot="1">
      <c r="C19" s="78"/>
      <c r="D19" s="74"/>
      <c r="F19" s="179"/>
      <c r="P19" s="102"/>
      <c r="Q19" s="122" t="str">
        <f>G17</f>
        <v>Андреј Стојановски (47)</v>
      </c>
      <c r="R19" s="101">
        <v>8</v>
      </c>
      <c r="S19" s="101">
        <v>7</v>
      </c>
      <c r="T19" s="101">
        <v>5</v>
      </c>
      <c r="U19" s="101"/>
      <c r="V19" s="101"/>
      <c r="W19" s="101"/>
      <c r="X19" s="101"/>
      <c r="Y19" s="19">
        <f>IF(R19="","",SUMPRODUCT(--(R19:X19&gt;R20:X20)))</f>
        <v>0</v>
      </c>
      <c r="AI19" s="106"/>
      <c r="AU19" s="49"/>
      <c r="AV19" s="49"/>
      <c r="AY19" s="480" t="str">
        <f>IF(AT25=AT26,"",IF(OR(AT34&gt;AT35,AT34&lt;AT35),"",AL35))</f>
        <v>Борис Секулов (130)</v>
      </c>
    </row>
    <row r="20" spans="3:52" ht="16.5" thickBot="1">
      <c r="C20" s="78"/>
      <c r="D20" s="74"/>
      <c r="F20" s="179"/>
      <c r="P20" s="108"/>
      <c r="Q20" s="122" t="str">
        <f>IF(O22="","",IF(O22&gt;O23,G22,G23))</f>
        <v>Даниел Главевски Зхоу  (108)</v>
      </c>
      <c r="R20" s="101">
        <v>11</v>
      </c>
      <c r="S20" s="101">
        <v>11</v>
      </c>
      <c r="T20" s="101">
        <v>11</v>
      </c>
      <c r="U20" s="101"/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502" t="s">
        <v>58</v>
      </c>
      <c r="AY20" s="480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5" t="s">
        <v>59</v>
      </c>
      <c r="AX21" s="503"/>
      <c r="AY21" s="481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>
        <v>0</v>
      </c>
      <c r="AI22" s="106"/>
      <c r="AU22" s="49"/>
      <c r="AV22" s="49"/>
      <c r="AW22" s="506"/>
      <c r="AX22" s="503"/>
      <c r="AY22" s="508" t="s">
        <v>60</v>
      </c>
    </row>
    <row r="23" spans="3:52" ht="16.5" thickBot="1">
      <c r="C23" s="78"/>
      <c r="D23" s="74"/>
      <c r="E23" t="s">
        <v>710</v>
      </c>
      <c r="F23" s="180">
        <v>5</v>
      </c>
      <c r="G23" s="177" t="str">
        <f>IF(F23="","",VLOOKUP(F23,$C$3:$D$18,2,FALSE))</f>
        <v>Даниел Главевски Зхоу  (108)</v>
      </c>
      <c r="H23" s="101">
        <v>1</v>
      </c>
      <c r="I23" s="101"/>
      <c r="J23" s="101"/>
      <c r="K23" s="101"/>
      <c r="L23" s="101"/>
      <c r="M23" s="101"/>
      <c r="N23" s="101"/>
      <c r="O23" s="19">
        <v>1</v>
      </c>
      <c r="AI23" s="106"/>
      <c r="AU23" s="49"/>
      <c r="AV23" s="49"/>
      <c r="AW23" s="507"/>
      <c r="AX23" s="504"/>
      <c r="AY23" s="509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Александар Јакимовски (178)</v>
      </c>
      <c r="AM25" s="101">
        <v>9</v>
      </c>
      <c r="AN25" s="101">
        <v>11</v>
      </c>
      <c r="AO25" s="101">
        <v>10</v>
      </c>
      <c r="AP25" s="101">
        <v>4</v>
      </c>
      <c r="AQ25" s="101"/>
      <c r="AR25" s="101"/>
      <c r="AS25" s="101"/>
      <c r="AT25" s="19">
        <f>IF(AM25="","",SUMPRODUCT(--(AM25:AS25&gt;AM26:AS26)))</f>
        <v>1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Нико Доага (190)</v>
      </c>
      <c r="AM26" s="101">
        <v>11</v>
      </c>
      <c r="AN26" s="101">
        <v>2</v>
      </c>
      <c r="AO26" s="101">
        <v>12</v>
      </c>
      <c r="AP26" s="101">
        <v>11</v>
      </c>
      <c r="AQ26" s="101"/>
      <c r="AR26" s="101"/>
      <c r="AS26" s="101"/>
      <c r="AT26" s="19">
        <f>IF(AM25="","",SUMPRODUCT(--(AM25:AS25&lt;AM26:AS26)))</f>
        <v>3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0" t="str">
        <f>IF(AT25="","",IF(AT25&gt;AT26,AL25,AL26))</f>
        <v>Нико Доага (190)</v>
      </c>
      <c r="AY28" s="510"/>
      <c r="AZ28" s="510"/>
    </row>
    <row r="29" spans="3:52" ht="15.75">
      <c r="C29" s="73"/>
      <c r="D29" s="74"/>
      <c r="E29" t="s">
        <v>710</v>
      </c>
      <c r="F29" s="181">
        <v>7</v>
      </c>
      <c r="G29" s="182" t="str">
        <f>IF(F29="","",VLOOKUP(F29,$C$3:$D$18,2,FALSE))</f>
        <v>Лука Стојчев (73)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5" t="str">
        <f>IF(AT25="","",IF(AT25&lt;AT26,AL25,AL26))</f>
        <v>Александар Јакимовски (178)</v>
      </c>
      <c r="AY29" s="495"/>
      <c r="AZ29" s="495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>Даниел Главевски Зхоу  (108)</v>
      </c>
      <c r="AY30" s="496"/>
      <c r="AZ30" s="496"/>
    </row>
    <row r="31" spans="3:52" ht="15.75">
      <c r="C31" s="73"/>
      <c r="D31" s="74"/>
      <c r="F31" s="179"/>
      <c r="P31" s="102"/>
      <c r="Q31" s="122" t="str">
        <f>G29</f>
        <v>Лука Стојчев (73)</v>
      </c>
      <c r="R31" s="101">
        <v>11</v>
      </c>
      <c r="S31" s="101">
        <v>11</v>
      </c>
      <c r="T31" s="101">
        <v>3</v>
      </c>
      <c r="U31" s="101">
        <v>7</v>
      </c>
      <c r="V31" s="101">
        <v>3</v>
      </c>
      <c r="W31" s="101"/>
      <c r="X31" s="101"/>
      <c r="Y31" s="19">
        <f>IF(R31="","",SUMPRODUCT(--(R31:X31&gt;R32:X32)))</f>
        <v>2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>Борис Секулов (130)</v>
      </c>
      <c r="AY31" s="496"/>
      <c r="AZ31" s="496"/>
    </row>
    <row r="32" spans="3:52" ht="15.75">
      <c r="C32" s="73"/>
      <c r="D32" s="74"/>
      <c r="F32" s="179"/>
      <c r="P32" s="108"/>
      <c r="Q32" s="122" t="str">
        <f>IF(O34="","",IF(O34&gt;O35,G34,G35))</f>
        <v>Борис Секулов (130)</v>
      </c>
      <c r="R32" s="101">
        <v>7</v>
      </c>
      <c r="S32" s="101">
        <v>4</v>
      </c>
      <c r="T32" s="101">
        <v>11</v>
      </c>
      <c r="U32" s="101">
        <v>11</v>
      </c>
      <c r="V32" s="101">
        <v>11</v>
      </c>
      <c r="W32" s="101"/>
      <c r="X32" s="101"/>
      <c r="Y32" s="19">
        <f>IF(R31="","",SUMPRODUCT(--(R31:X31&lt;R32:X32)))</f>
        <v>3</v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>Филип Ангела (299)</v>
      </c>
      <c r="AY32" s="497"/>
      <c r="AZ32" s="497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7" t="str">
        <f>IF(Y19="","",IF(Y19&lt;Y20,Q19,Q20))</f>
        <v>Андреј Стојановски (47)</v>
      </c>
      <c r="AY33" s="497"/>
      <c r="AZ33" s="497"/>
    </row>
    <row r="34" spans="3:52" ht="15.75">
      <c r="C34" s="73"/>
      <c r="D34" s="74"/>
      <c r="F34" s="178">
        <v>2</v>
      </c>
      <c r="G34" s="177" t="str">
        <f>IF(F34="","",VLOOKUP(F34,$C$3:$D$18,2,FALSE))</f>
        <v>Кристијан Каламадевски (347)</v>
      </c>
      <c r="H34" s="101">
        <v>3</v>
      </c>
      <c r="I34" s="101">
        <v>11</v>
      </c>
      <c r="J34" s="101">
        <v>9</v>
      </c>
      <c r="K34" s="101"/>
      <c r="L34" s="101"/>
      <c r="M34" s="101"/>
      <c r="N34" s="101"/>
      <c r="O34" s="19">
        <f>IF(H34="","",SUMPRODUCT(--(H34:N34&gt;H35:N35)))</f>
        <v>0</v>
      </c>
      <c r="Z34" s="102"/>
      <c r="AI34" s="106"/>
      <c r="AK34" s="86"/>
      <c r="AL34" s="124" t="str">
        <f>IF(AI13="","",IF(AI13&lt;AI14,AA13,AA14))</f>
        <v>Даниел Главевски Зхоу  (108)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>Лука Стојчев (73)</v>
      </c>
      <c r="AY34" s="497"/>
      <c r="AZ34" s="497"/>
    </row>
    <row r="35" spans="3:52">
      <c r="E35" t="s">
        <v>711</v>
      </c>
      <c r="F35" s="180">
        <v>9</v>
      </c>
      <c r="G35" s="177" t="str">
        <f>IF(F35="","",VLOOKUP(F35,$C$3:$D$18,2,FALSE))</f>
        <v>Борис Секулов (130)</v>
      </c>
      <c r="H35" s="101">
        <v>11</v>
      </c>
      <c r="I35" s="101">
        <v>13</v>
      </c>
      <c r="J35" s="101">
        <v>11</v>
      </c>
      <c r="K35" s="101"/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Борис Секулов (130)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8" t="str">
        <f>IF(Y43="","",IF(Y43&lt;Y44,Q43,Q44))</f>
        <v>Томе Милев (131)</v>
      </c>
      <c r="AY35" s="498"/>
      <c r="AZ35" s="498"/>
    </row>
    <row r="36" spans="3:52">
      <c r="F36" s="179"/>
      <c r="Z36" s="102"/>
      <c r="AI36" s="107"/>
      <c r="AU36" s="49"/>
      <c r="AV36" s="190"/>
      <c r="AW36" s="191"/>
      <c r="AX36" s="499"/>
      <c r="AY36" s="499"/>
      <c r="AZ36" s="499"/>
    </row>
    <row r="37" spans="3:52">
      <c r="C37" s="42"/>
      <c r="D37" s="42"/>
      <c r="F37" s="179"/>
      <c r="O37" s="34"/>
      <c r="Z37" s="102"/>
      <c r="AA37" s="121" t="str">
        <f>IF(Y31="","",IF(Y31&gt;Y32,Q31,Q32))</f>
        <v>Борис Секулов (130)</v>
      </c>
      <c r="AB37" s="101">
        <v>4</v>
      </c>
      <c r="AC37" s="101">
        <v>8</v>
      </c>
      <c r="AD37" s="101">
        <v>1</v>
      </c>
      <c r="AE37" s="101"/>
      <c r="AF37" s="101"/>
      <c r="AG37" s="101"/>
      <c r="AH37" s="101"/>
      <c r="AI37" s="19">
        <f>IF(AB37="","",SUMPRODUCT(--(AB37:AH37&gt;AB38:AH38)))</f>
        <v>0</v>
      </c>
      <c r="AJ37" s="41"/>
      <c r="AU37" s="49"/>
      <c r="AV37" s="189"/>
      <c r="AW37" s="75"/>
      <c r="AX37" s="490"/>
      <c r="AY37" s="490"/>
      <c r="AZ37" s="490"/>
    </row>
    <row r="38" spans="3:52">
      <c r="F38" s="179"/>
      <c r="O38" s="34"/>
      <c r="Z38" s="108"/>
      <c r="AA38" s="121" t="str">
        <f>IF(Y43="","",IF(Y43&gt;Y44,Q43,Q44))</f>
        <v>Нико Доага (190)</v>
      </c>
      <c r="AB38" s="101">
        <v>11</v>
      </c>
      <c r="AC38" s="101">
        <v>11</v>
      </c>
      <c r="AD38" s="101">
        <v>11</v>
      </c>
      <c r="AE38" s="101"/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89"/>
      <c r="AW38" s="75"/>
      <c r="AX38" s="490"/>
      <c r="AY38" s="490"/>
      <c r="AZ38" s="490"/>
    </row>
    <row r="39" spans="3:52">
      <c r="F39" s="179"/>
      <c r="Z39" s="102"/>
      <c r="AU39" s="49"/>
      <c r="AV39" s="189"/>
      <c r="AW39" s="75"/>
      <c r="AX39" s="490"/>
      <c r="AY39" s="490"/>
      <c r="AZ39" s="490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0"/>
      <c r="AY40" s="490"/>
      <c r="AZ40" s="490"/>
    </row>
    <row r="41" spans="3:52">
      <c r="C41" s="42"/>
      <c r="D41" s="42"/>
      <c r="F41" s="181">
        <v>12</v>
      </c>
      <c r="G41" s="182" t="str">
        <f>IF(F41="","",VLOOKUP(F41,$C$3:$D$18,2,FALSE))</f>
        <v>Андреј Васевски (203)</v>
      </c>
      <c r="H41" s="183">
        <v>11</v>
      </c>
      <c r="I41" s="183">
        <v>7</v>
      </c>
      <c r="J41" s="183">
        <v>11</v>
      </c>
      <c r="K41" s="183">
        <v>11</v>
      </c>
      <c r="L41" s="183">
        <v>6</v>
      </c>
      <c r="M41" s="183"/>
      <c r="N41" s="183"/>
      <c r="O41" s="184">
        <v>2</v>
      </c>
      <c r="Y41" s="34"/>
      <c r="Z41" s="102"/>
      <c r="AU41" s="49"/>
      <c r="AV41" s="189"/>
      <c r="AW41" s="75"/>
      <c r="AX41" s="490"/>
      <c r="AY41" s="490"/>
      <c r="AZ41" s="490"/>
    </row>
    <row r="42" spans="3:52" ht="15.75">
      <c r="F42" s="178">
        <v>6</v>
      </c>
      <c r="G42" s="177" t="str">
        <f>IF(F42="","",VLOOKUP(F42,$C$3:$D$18,2,FALSE))</f>
        <v>Томе Милев (131)</v>
      </c>
      <c r="H42" s="101">
        <v>7</v>
      </c>
      <c r="I42" s="101">
        <v>11</v>
      </c>
      <c r="J42" s="101">
        <v>5</v>
      </c>
      <c r="K42" s="101">
        <v>13</v>
      </c>
      <c r="L42" s="101">
        <v>11</v>
      </c>
      <c r="M42" s="101"/>
      <c r="N42" s="101"/>
      <c r="O42" s="19">
        <v>3</v>
      </c>
      <c r="P42" s="102"/>
      <c r="Y42" s="34"/>
      <c r="Z42" s="102"/>
      <c r="AU42" s="49"/>
      <c r="AV42" s="189"/>
      <c r="AW42" s="75"/>
      <c r="AX42" s="490"/>
      <c r="AY42" s="490"/>
      <c r="AZ42" s="490"/>
    </row>
    <row r="43" spans="3:52">
      <c r="F43" s="179"/>
      <c r="P43" s="102"/>
      <c r="Q43" s="122" t="s">
        <v>817</v>
      </c>
      <c r="R43" s="101">
        <v>10</v>
      </c>
      <c r="S43" s="101">
        <v>11</v>
      </c>
      <c r="T43" s="101">
        <v>11</v>
      </c>
      <c r="U43" s="101">
        <v>6</v>
      </c>
      <c r="V43" s="101"/>
      <c r="W43" s="101"/>
      <c r="X43" s="101"/>
      <c r="Y43" s="19">
        <f>IF(R43="","",SUMPRODUCT(--(R43:X43&gt;R44:X44)))</f>
        <v>1</v>
      </c>
      <c r="AU43" s="49"/>
      <c r="AV43" s="189"/>
      <c r="AW43" s="75"/>
      <c r="AX43" s="490"/>
      <c r="AY43" s="490"/>
      <c r="AZ43" s="490"/>
    </row>
    <row r="44" spans="3:52">
      <c r="F44" s="179"/>
      <c r="P44" s="108"/>
      <c r="Q44" s="122" t="str">
        <f>IF(O46="","",IF(O46&gt;O47,G46,G47))</f>
        <v>Нико Доага (190)</v>
      </c>
      <c r="R44" s="101">
        <v>12</v>
      </c>
      <c r="S44" s="101">
        <v>9</v>
      </c>
      <c r="T44" s="101">
        <v>13</v>
      </c>
      <c r="U44" s="101">
        <v>11</v>
      </c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>
        <v>0</v>
      </c>
      <c r="AU46" s="49"/>
      <c r="AV46" s="49"/>
    </row>
    <row r="47" spans="3:52">
      <c r="F47" s="180">
        <v>3</v>
      </c>
      <c r="G47" s="177" t="str">
        <f>IF(F47="","",VLOOKUP(F47,$C$3:$D$18,2,FALSE))</f>
        <v>Нико Доага (190)</v>
      </c>
      <c r="H47" s="101"/>
      <c r="I47" s="101"/>
      <c r="J47" s="101"/>
      <c r="K47" s="101"/>
      <c r="L47" s="101"/>
      <c r="M47" s="101"/>
      <c r="N47" s="101"/>
      <c r="O47" s="19">
        <v>1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0"/>
      <c r="AY50" s="490"/>
      <c r="AZ50" s="490"/>
    </row>
    <row r="51" spans="3:52">
      <c r="AW51" s="75"/>
      <c r="AX51" s="490"/>
      <c r="AY51" s="490"/>
      <c r="AZ51" s="490"/>
    </row>
    <row r="52" spans="3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topLeftCell="A19"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0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Кристијан Каламадевски (347)</v>
      </c>
      <c r="E4">
        <v>1</v>
      </c>
      <c r="F4" s="178">
        <v>1</v>
      </c>
      <c r="G4" s="177" t="str">
        <f>IF(F4="","",VLOOKUP(F4,$C$3:$D$18,2,FALSE))</f>
        <v>Александар Јакимовски (178)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Нико Доага (190)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Филип Ангела (299)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Даниел Главевски Зхоу  (108)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Томе Милев (131)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Лука Стојчев (73)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Антонио Аврамски (144)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Борис Секулов (130)</v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Љупчо Треновски (404)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Андреј Стојановски (47)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Андреј Васевски (203)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8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8" t="str">
        <f>IF(AT25="","",IF(AT25&lt;AT26,AL25,AL26))</f>
        <v/>
      </c>
      <c r="AX16" s="478"/>
      <c r="AY16" s="479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8"/>
      <c r="AX17" s="478"/>
      <c r="AY17" s="479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8"/>
      <c r="AY18" s="479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0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0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1" t="s">
        <v>59</v>
      </c>
      <c r="AX21" s="503"/>
      <c r="AY21" s="481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2"/>
      <c r="AX22" s="503"/>
      <c r="AY22" s="508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3"/>
      <c r="AX23" s="504"/>
      <c r="AY23" s="509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4" t="str">
        <f>IF(AT25="","",IF(AT25&gt;AT26,AL25,AL26))</f>
        <v/>
      </c>
      <c r="AY28" s="494"/>
      <c r="AZ28" s="494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7" t="str">
        <f>IF(Y43="","",IF(Y43&lt;Y44,Q43,Q44))</f>
        <v/>
      </c>
      <c r="AY35" s="497"/>
      <c r="AZ35" s="49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4" t="str">
        <f>IF(O4="","",IF(O4&lt;O5,G4,G5))</f>
        <v/>
      </c>
      <c r="AY36" s="514"/>
      <c r="AZ36" s="51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4" t="str">
        <f>IF(O10="","",IF(O10&lt;O11,G10,G11))</f>
        <v/>
      </c>
      <c r="AY37" s="514"/>
      <c r="AZ37" s="51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4" t="str">
        <f>IF(O16="","",IF(O16&lt;O17,G16,G17))</f>
        <v/>
      </c>
      <c r="AY38" s="514"/>
      <c r="AZ38" s="514"/>
    </row>
    <row r="39" spans="3:52">
      <c r="F39" s="179"/>
      <c r="Z39" s="102"/>
      <c r="AU39" s="49"/>
      <c r="AV39" s="118">
        <v>9</v>
      </c>
      <c r="AW39" s="24" t="s">
        <v>20</v>
      </c>
      <c r="AX39" s="514" t="str">
        <f>IF(O22="","",IF(O22&lt;O23,G22,G23))</f>
        <v/>
      </c>
      <c r="AY39" s="514"/>
      <c r="AZ39" s="514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4" t="str">
        <f>IF(O28="","",IF(O28&lt;O29,G28,G29))</f>
        <v/>
      </c>
      <c r="AY40" s="514"/>
      <c r="AZ40" s="514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4" t="str">
        <f>IF(O34="","",IF(O34&lt;O35,G34,G35))</f>
        <v/>
      </c>
      <c r="AY41" s="514"/>
      <c r="AZ41" s="51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4" t="str">
        <f>IF(O40="","",IF(O40&lt;O41,G40,G41))</f>
        <v/>
      </c>
      <c r="AY42" s="514"/>
      <c r="AZ42" s="514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4" t="str">
        <f>IF(O46="","",IF(O46&lt;O47,G46,G47))</f>
        <v/>
      </c>
      <c r="AY43" s="514"/>
      <c r="AZ43" s="51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Кристијан Каламадевски (347)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0"/>
      <c r="AY50" s="490"/>
      <c r="AZ50" s="490"/>
    </row>
    <row r="51" spans="6:52">
      <c r="AW51" s="75"/>
      <c r="AX51" s="490"/>
      <c r="AY51" s="490"/>
      <c r="AZ51" s="490"/>
    </row>
    <row r="52" spans="6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0" t="s">
        <v>61</v>
      </c>
      <c r="D1" s="477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81" t="s">
        <v>538</v>
      </c>
      <c r="F3">
        <v>1</v>
      </c>
      <c r="G3" s="63">
        <v>1</v>
      </c>
      <c r="H3" s="95" t="str">
        <f>IF(G3="","",VLOOKUP(G3,$C$3:$F$26,2,FALSE))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Кристијан Каламадевски (347)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Нико Доага (190)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Филип Ангела (299)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Даниел Главевски Зхоу  (108)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Томе Милев (131)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Стојчев (73)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Антонио Аврамски (144)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Борис Секулов (130)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Љупчо Треновски (404)</v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Андреј Стојановски (47)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Андреј Васевски (203)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Нико Доага (190)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Нико Доага (190)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0" t="s">
        <v>61</v>
      </c>
      <c r="D1" s="477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59" t="s">
        <v>532</v>
      </c>
      <c r="F3">
        <v>1</v>
      </c>
      <c r="G3" s="63">
        <v>1</v>
      </c>
      <c r="H3" s="95" t="str">
        <f>IF(G3="","",VLOOKUP(G3,$C$3:$E$26,2,FALSE))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Кристијан Каламадевски (347)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Нико Доага (190)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Филип Ангела (299)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Даниел Главевски Зхоу  (108)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Томе Милев (131)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Стојчев (73)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Антонио Аврамски (144)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Борис Секулов (130)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Љупчо Треновски (404)</v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Андреј Стојановски (47)</v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Андреј Васевски (203)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Нико Доага (190)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Нико Доага (190)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0" t="s">
        <v>61</v>
      </c>
      <c r="D1" s="477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Кристијан Каламадевски (347)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Нико Доага (190)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Филип Ангела (299)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Даниел Главевски Зхоу  (108)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Томе Милев (131)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Лука Стојчев (73)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Антонио Аврамски (144)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Борис Секулов (130)</v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Љупчо Треновски (404)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Андреј Стојановски (47)</v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Андреј Васевски (203)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8" t="str">
        <f>IF(BD33=BD34,"",IF(BD33="","",IF(BD33&lt;BD34,AV33,AV34)))</f>
        <v/>
      </c>
      <c r="BG16" s="478"/>
      <c r="BH16" s="47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8"/>
      <c r="BG17" s="478"/>
      <c r="BH17" s="479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8"/>
      <c r="BH18" s="47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2" t="s">
        <v>58</v>
      </c>
      <c r="BH20" s="48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3"/>
      <c r="BH21" s="48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5" t="s">
        <v>59</v>
      </c>
      <c r="BG22" s="483"/>
      <c r="BH22" s="48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6"/>
      <c r="BG23" s="484"/>
      <c r="BH23" s="489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9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9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8" t="str">
        <f>IF(BD33=BD34,"",IF(BD33="","",IF(BD33&lt;BD34,AV33,AV34)))</f>
        <v/>
      </c>
      <c r="BG42" s="519"/>
      <c r="BH42" s="519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8"/>
      <c r="BG43" s="42"/>
      <c r="BH43" s="519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8"/>
      <c r="BG44" s="42"/>
      <c r="BH44" s="519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0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2" t="s">
        <v>58</v>
      </c>
      <c r="BH46" s="480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3"/>
      <c r="BH47" s="517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5" t="s">
        <v>59</v>
      </c>
      <c r="BG48" s="483"/>
      <c r="BH48" s="488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6"/>
      <c r="BG49" s="484"/>
      <c r="BH49" s="489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1" t="s">
        <v>81</v>
      </c>
      <c r="BF51" s="492"/>
      <c r="BG51" s="492"/>
      <c r="BH51" s="492"/>
      <c r="BI51" s="49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0" t="str">
        <f>IF(BD33="","",IF(BD33&gt;BD34,AV33,AV34))</f>
        <v/>
      </c>
      <c r="BH52" s="520"/>
      <c r="BI52" s="520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5" t="str">
        <f>IF(BD33=BD34,"",IF(BD33="","",IF(BD33&lt;BD34,AV33,AV34)))</f>
        <v/>
      </c>
      <c r="BH53" s="495"/>
      <c r="BI53" s="49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6" t="str">
        <f>IF(BD33=BD34,"",IF(BD41=BD42,AV41,IF(BD41&gt;BD42,AV41,AV42)))</f>
        <v/>
      </c>
      <c r="BH54" s="496"/>
      <c r="BI54" s="49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6" t="str">
        <f>IF(BD33=BD34,"",IF(BD41=BD42,AV42,IF(BD42&lt;BD41,AV42,AV41)))</f>
        <v/>
      </c>
      <c r="BH55" s="496"/>
      <c r="BI55" s="496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7" t="str">
        <f>IF(AI9="","",IF(AI9&lt;AI10,AA9,AA10))</f>
        <v/>
      </c>
      <c r="BH56" s="497"/>
      <c r="BI56" s="497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7" t="str">
        <f>IF(AI25="","",IF(AI25&lt;AI26,AA25,AA26))</f>
        <v/>
      </c>
      <c r="BH57" s="497"/>
      <c r="BI57" s="49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7" t="str">
        <f>IF(AI41="","",IF(AI41&lt;AI42,AA41,AA42))</f>
        <v/>
      </c>
      <c r="BH58" s="497"/>
      <c r="BI58" s="497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7" t="str">
        <f>IF(AI57="","",IF(AI57&lt;AI58,AA57,AA58))</f>
        <v/>
      </c>
      <c r="BH59" s="497"/>
      <c r="BI59" s="49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4" t="str">
        <f>IF(Y5="","",IF(Y5&lt;Y6,Q5,Q6))</f>
        <v/>
      </c>
      <c r="BH60" s="514"/>
      <c r="BI60" s="514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4" t="str">
        <f>IF(Y13="","",IF(Y13&lt;Y14,Q13,Q14))</f>
        <v/>
      </c>
      <c r="BH61" s="514"/>
      <c r="BI61" s="51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4" t="str">
        <f>IF(Y21="","",IF(Y21&lt;Y22,Q21,Q22))</f>
        <v/>
      </c>
      <c r="BH62" s="514"/>
      <c r="BI62" s="51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4" t="str">
        <f>IF(Y29="","",IF(Y29&lt;Y30,Q29,Q30))</f>
        <v/>
      </c>
      <c r="BH63" s="514"/>
      <c r="BI63" s="514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4" t="str">
        <f>IF(Y37="","",IF(Y37&lt;Y38,Q37,Q38))</f>
        <v/>
      </c>
      <c r="BH64" s="514"/>
      <c r="BI64" s="51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4" t="str">
        <f>IF(Y45="","",IF(Y45&lt;Y46,Q45,Q46))</f>
        <v/>
      </c>
      <c r="BH65" s="514"/>
      <c r="BI65" s="51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4" t="str">
        <f>IF(Y53="","",IF(Y53&lt;Y54,Q53,Q54))</f>
        <v/>
      </c>
      <c r="BH66" s="514"/>
      <c r="BI66" s="51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4" t="str">
        <f>IF(Y61="","",IF(Y61&lt;Y62,Q61,Q62))</f>
        <v/>
      </c>
      <c r="BH67" s="514"/>
      <c r="BI67" s="514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0" t="s">
        <v>61</v>
      </c>
      <c r="D1" s="47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Кристијан Каламадевски (347)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Нико Доага (190)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Филип Ангела (299)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Даниел Главевски Зхоу  (108)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Томе Милев (131)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Лука Стојчев (73)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Антонио Аврамски (144)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Борис Секулов (130)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Љупчо Треновски (404)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Андреј Стојановски (47)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Андреј Васевски (203)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2023-04-01T16:30:05Z</dcterms:modified>
</cp:coreProperties>
</file>