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00" tabRatio="926" firstSheet="1" activeTab="26"/>
  </bookViews>
  <sheets>
    <sheet name="PARTICIPANTS" sheetId="19" state="hidden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r:id="rId12"/>
    <sheet name="IX" sheetId="38" r:id="rId13"/>
    <sheet name="X" sheetId="39" r:id="rId14"/>
    <sheet name="XI" sheetId="40" r:id="rId15"/>
    <sheet name="XII" sheetId="41" r:id="rId16"/>
    <sheet name="XIII" sheetId="42" r:id="rId17"/>
    <sheet name="XIV" sheetId="43" r:id="rId18"/>
    <sheet name="XV" sheetId="44" r:id="rId19"/>
    <sheet name="XVI" sheetId="45" r:id="rId20"/>
    <sheet name="KO6(3 G)" sheetId="47" state="hidden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O18" i="26" l="1"/>
  <c r="G18" i="26"/>
  <c r="O42" i="26"/>
  <c r="G42" i="26"/>
  <c r="D10" i="19" l="1"/>
  <c r="K15" i="19" l="1"/>
  <c r="K35" i="19"/>
  <c r="K18" i="19"/>
  <c r="K11" i="19"/>
  <c r="K34" i="19"/>
  <c r="K21" i="19"/>
  <c r="K23" i="19"/>
  <c r="K4" i="19"/>
  <c r="K7" i="19"/>
  <c r="K44" i="19"/>
  <c r="K40" i="19"/>
  <c r="K27" i="19"/>
  <c r="K9" i="19"/>
  <c r="K20" i="19"/>
  <c r="K47" i="19"/>
  <c r="K28" i="19"/>
  <c r="K36" i="19"/>
  <c r="K41" i="19"/>
  <c r="K45" i="19"/>
  <c r="K49" i="19"/>
  <c r="K51" i="19"/>
  <c r="K46" i="19"/>
  <c r="K12" i="19"/>
  <c r="K42" i="19"/>
  <c r="K24" i="19"/>
  <c r="K48" i="19"/>
  <c r="K37" i="19"/>
  <c r="K38" i="19"/>
  <c r="K5" i="19"/>
  <c r="K52" i="19"/>
  <c r="K50" i="19"/>
  <c r="K16" i="19"/>
  <c r="K26" i="19"/>
  <c r="K53" i="19"/>
  <c r="K39" i="19"/>
  <c r="K31" i="19"/>
  <c r="K10" i="19"/>
  <c r="K3" i="19"/>
  <c r="K54" i="19"/>
  <c r="K6" i="19"/>
  <c r="K8" i="19"/>
  <c r="K32" i="19"/>
  <c r="K55" i="19"/>
  <c r="K33" i="19"/>
  <c r="K30" i="19"/>
  <c r="K56" i="19"/>
  <c r="K14" i="19"/>
  <c r="K43" i="19"/>
  <c r="K29" i="19"/>
  <c r="K22" i="19"/>
  <c r="K17" i="19"/>
  <c r="K57" i="19"/>
  <c r="K13" i="19"/>
  <c r="K19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25" i="19"/>
  <c r="J25" i="19"/>
  <c r="I25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AM16" i="49"/>
  <c r="Y14" i="49"/>
  <c r="Y13" i="49"/>
  <c r="O8" i="49"/>
  <c r="O7" i="49"/>
  <c r="AN32" i="49" s="1"/>
  <c r="AB25" i="49" l="1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5" i="48" l="1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35" i="19"/>
  <c r="J18" i="19"/>
  <c r="J11" i="19"/>
  <c r="J34" i="19"/>
  <c r="J21" i="19"/>
  <c r="J23" i="19"/>
  <c r="J4" i="19"/>
  <c r="J7" i="19"/>
  <c r="J44" i="19"/>
  <c r="J40" i="19"/>
  <c r="J27" i="19"/>
  <c r="J9" i="19"/>
  <c r="J20" i="19"/>
  <c r="J47" i="19"/>
  <c r="J28" i="19"/>
  <c r="J36" i="19"/>
  <c r="J41" i="19"/>
  <c r="J45" i="19"/>
  <c r="J49" i="19"/>
  <c r="J51" i="19"/>
  <c r="J46" i="19"/>
  <c r="J12" i="19"/>
  <c r="J42" i="19"/>
  <c r="J24" i="19"/>
  <c r="J48" i="19"/>
  <c r="J37" i="19"/>
  <c r="J38" i="19"/>
  <c r="J5" i="19"/>
  <c r="J52" i="19"/>
  <c r="J50" i="19"/>
  <c r="J16" i="19"/>
  <c r="J26" i="19"/>
  <c r="J53" i="19"/>
  <c r="J39" i="19"/>
  <c r="J31" i="19"/>
  <c r="J10" i="19"/>
  <c r="J3" i="19"/>
  <c r="J54" i="19"/>
  <c r="J6" i="19"/>
  <c r="J8" i="19"/>
  <c r="J32" i="19"/>
  <c r="J55" i="19"/>
  <c r="J33" i="19"/>
  <c r="J30" i="19"/>
  <c r="J56" i="19"/>
  <c r="J14" i="19"/>
  <c r="J43" i="19"/>
  <c r="J29" i="19"/>
  <c r="J22" i="19"/>
  <c r="J17" i="19"/>
  <c r="J57" i="19"/>
  <c r="J13" i="19"/>
  <c r="J19" i="19"/>
  <c r="J58" i="19"/>
  <c r="J59" i="19"/>
  <c r="J60" i="19"/>
  <c r="J61" i="19"/>
  <c r="J62" i="19"/>
  <c r="J63" i="19"/>
  <c r="J64" i="19"/>
  <c r="J65" i="19"/>
  <c r="J66" i="19"/>
  <c r="J15" i="19"/>
  <c r="I15" i="19"/>
  <c r="I35" i="19"/>
  <c r="I18" i="19"/>
  <c r="I11" i="19"/>
  <c r="I34" i="19"/>
  <c r="I21" i="19"/>
  <c r="I23" i="19"/>
  <c r="I4" i="19"/>
  <c r="I7" i="19"/>
  <c r="I44" i="19"/>
  <c r="I40" i="19"/>
  <c r="I27" i="19"/>
  <c r="I9" i="19"/>
  <c r="I20" i="19"/>
  <c r="I47" i="19"/>
  <c r="I28" i="19"/>
  <c r="I36" i="19"/>
  <c r="I41" i="19"/>
  <c r="I45" i="19"/>
  <c r="I49" i="19"/>
  <c r="I51" i="19"/>
  <c r="I46" i="19"/>
  <c r="I12" i="19"/>
  <c r="I42" i="19"/>
  <c r="I24" i="19"/>
  <c r="I48" i="19"/>
  <c r="I37" i="19"/>
  <c r="I38" i="19"/>
  <c r="I5" i="19"/>
  <c r="I52" i="19"/>
  <c r="I50" i="19"/>
  <c r="I16" i="19"/>
  <c r="I26" i="19"/>
  <c r="I53" i="19"/>
  <c r="I39" i="19"/>
  <c r="I31" i="19"/>
  <c r="I10" i="19"/>
  <c r="I3" i="19"/>
  <c r="I54" i="19"/>
  <c r="I6" i="19"/>
  <c r="I8" i="19"/>
  <c r="I32" i="19"/>
  <c r="I55" i="19"/>
  <c r="I33" i="19"/>
  <c r="I30" i="19"/>
  <c r="I56" i="19"/>
  <c r="I14" i="19"/>
  <c r="I43" i="19"/>
  <c r="I29" i="19"/>
  <c r="I22" i="19"/>
  <c r="I17" i="19"/>
  <c r="I57" i="19"/>
  <c r="I13" i="19"/>
  <c r="I19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J4" i="45"/>
  <c r="AO5" i="45" s="1"/>
  <c r="AI4" i="45"/>
  <c r="AN3" i="45" s="1"/>
  <c r="AH4" i="45"/>
  <c r="AM6" i="45" s="1"/>
  <c r="AM3" i="45"/>
  <c r="AJ3" i="45"/>
  <c r="AO6" i="45" s="1"/>
  <c r="AI3" i="45"/>
  <c r="AN4" i="45" s="1"/>
  <c r="AH3" i="45"/>
  <c r="AM5" i="45" s="1"/>
  <c r="G6" i="44"/>
  <c r="H3" i="44"/>
  <c r="AJ6" i="44"/>
  <c r="AO3" i="44" s="1"/>
  <c r="AI6" i="44"/>
  <c r="AN5" i="44" s="1"/>
  <c r="AH6" i="44"/>
  <c r="K6" i="44"/>
  <c r="J6" i="44"/>
  <c r="I6" i="44"/>
  <c r="F6" i="44"/>
  <c r="AJ5" i="44"/>
  <c r="AO4" i="44" s="1"/>
  <c r="AI5" i="44"/>
  <c r="AN6" i="44" s="1"/>
  <c r="AM3" i="44"/>
  <c r="M5" i="44"/>
  <c r="L5" i="44"/>
  <c r="H5" i="44"/>
  <c r="G5" i="44"/>
  <c r="AJ4" i="44"/>
  <c r="AI4" i="44"/>
  <c r="AN3" i="44" s="1"/>
  <c r="AH4" i="44"/>
  <c r="AM6" i="44" s="1"/>
  <c r="L4" i="44"/>
  <c r="K4" i="44"/>
  <c r="F4" i="44"/>
  <c r="AJ3" i="44"/>
  <c r="AO6" i="44" s="1"/>
  <c r="AI3" i="44"/>
  <c r="AN4" i="44" s="1"/>
  <c r="AH3" i="44"/>
  <c r="AM5" i="44" s="1"/>
  <c r="M3" i="44"/>
  <c r="K3" i="44"/>
  <c r="J3" i="44"/>
  <c r="I3" i="44"/>
  <c r="H5" i="43"/>
  <c r="F6" i="43"/>
  <c r="L3" i="43"/>
  <c r="I6" i="43"/>
  <c r="AJ6" i="43"/>
  <c r="AO3" i="43" s="1"/>
  <c r="AI6" i="43"/>
  <c r="AH6" i="43"/>
  <c r="AM4" i="43" s="1"/>
  <c r="J6" i="43"/>
  <c r="H6" i="43"/>
  <c r="G6" i="43"/>
  <c r="AJ5" i="43"/>
  <c r="AO4" i="43" s="1"/>
  <c r="AI5" i="43"/>
  <c r="AN6" i="43" s="1"/>
  <c r="M5" i="43"/>
  <c r="L5" i="43"/>
  <c r="I5" i="43"/>
  <c r="AJ4" i="43"/>
  <c r="AO5" i="43" s="1"/>
  <c r="AI4" i="43"/>
  <c r="AN3" i="43" s="1"/>
  <c r="AH4" i="43"/>
  <c r="M4" i="43"/>
  <c r="J4" i="43"/>
  <c r="G4" i="43"/>
  <c r="AM3" i="43"/>
  <c r="AJ3" i="43"/>
  <c r="AO6" i="43" s="1"/>
  <c r="AI3" i="43"/>
  <c r="AN4" i="43" s="1"/>
  <c r="AH3" i="43"/>
  <c r="AM5" i="43" s="1"/>
  <c r="K3" i="43"/>
  <c r="J3" i="43"/>
  <c r="H3" i="43"/>
  <c r="K4" i="42"/>
  <c r="I3" i="42"/>
  <c r="H3" i="42"/>
  <c r="I6" i="42"/>
  <c r="N5" i="42"/>
  <c r="AJ6" i="42"/>
  <c r="AO3" i="42" s="1"/>
  <c r="AI6" i="42"/>
  <c r="AN5" i="42" s="1"/>
  <c r="AH6" i="42"/>
  <c r="AM4" i="42" s="1"/>
  <c r="K6" i="42"/>
  <c r="J6" i="42"/>
  <c r="AD6" i="42" s="1"/>
  <c r="H6" i="42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M4" i="42"/>
  <c r="L4" i="42"/>
  <c r="J4" i="42"/>
  <c r="AC4" i="42" s="1"/>
  <c r="G4" i="42"/>
  <c r="F4" i="42"/>
  <c r="AJ3" i="42"/>
  <c r="AO6" i="42" s="1"/>
  <c r="AI3" i="42"/>
  <c r="AN4" i="42" s="1"/>
  <c r="AH3" i="42"/>
  <c r="AM5" i="42" s="1"/>
  <c r="L3" i="42"/>
  <c r="K3" i="42"/>
  <c r="J3" i="42"/>
  <c r="AC3" i="42" s="1"/>
  <c r="AB3" i="44" l="1"/>
  <c r="AB6" i="45"/>
  <c r="AC4" i="45"/>
  <c r="O6" i="44"/>
  <c r="N3" i="42"/>
  <c r="AC6" i="42"/>
  <c r="AB3" i="45"/>
  <c r="AC6" i="45"/>
  <c r="AC5" i="43"/>
  <c r="AB6" i="43"/>
  <c r="AD5" i="43"/>
  <c r="AC6" i="43"/>
  <c r="AC3" i="43"/>
  <c r="AB6" i="44"/>
  <c r="AD6" i="44"/>
  <c r="AD5" i="44"/>
  <c r="AC3" i="44"/>
  <c r="AB3" i="42"/>
  <c r="AB4" i="42"/>
  <c r="AD4" i="42"/>
  <c r="AG4" i="45"/>
  <c r="P4" i="45" s="1"/>
  <c r="M4" i="45"/>
  <c r="I5" i="45"/>
  <c r="AC5" i="45" s="1"/>
  <c r="F4" i="45"/>
  <c r="AB4" i="45" s="1"/>
  <c r="AG4" i="43"/>
  <c r="P4" i="43" s="1"/>
  <c r="AG6" i="44"/>
  <c r="P6" i="44" s="1"/>
  <c r="G4" i="45"/>
  <c r="L4" i="45"/>
  <c r="AP4" i="42"/>
  <c r="Q4" i="42" s="1"/>
  <c r="AG5" i="42"/>
  <c r="AP5" i="45"/>
  <c r="Q5" i="45" s="1"/>
  <c r="M5" i="45"/>
  <c r="J6" i="45"/>
  <c r="AD6" i="45" s="1"/>
  <c r="L5" i="45"/>
  <c r="J3" i="45"/>
  <c r="K3" i="45"/>
  <c r="F5" i="45"/>
  <c r="AP3" i="45"/>
  <c r="Q3" i="45" s="1"/>
  <c r="AP3" i="44"/>
  <c r="Q3" i="44" s="1"/>
  <c r="AG4" i="44"/>
  <c r="P4" i="44" s="1"/>
  <c r="AK4" i="43"/>
  <c r="AG6" i="43"/>
  <c r="P6" i="43" s="1"/>
  <c r="AP3" i="43"/>
  <c r="Q3" i="43" s="1"/>
  <c r="AP4" i="43"/>
  <c r="Q4" i="43" s="1"/>
  <c r="AM6" i="43"/>
  <c r="AK6" i="43" s="1"/>
  <c r="AP3" i="42"/>
  <c r="Q3" i="42" s="1"/>
  <c r="AP5" i="42"/>
  <c r="AK5" i="42"/>
  <c r="R5" i="42" s="1"/>
  <c r="AP6" i="42"/>
  <c r="Q6" i="42" s="1"/>
  <c r="AK6" i="45"/>
  <c r="AK5" i="45"/>
  <c r="AP6" i="45"/>
  <c r="Q6" i="45" s="1"/>
  <c r="L3" i="45"/>
  <c r="AK3" i="45"/>
  <c r="AG5" i="45"/>
  <c r="P5" i="45" s="1"/>
  <c r="M3" i="45"/>
  <c r="G5" i="45"/>
  <c r="O6" i="45"/>
  <c r="AG6" i="45"/>
  <c r="P6" i="45" s="1"/>
  <c r="AM4" i="45"/>
  <c r="AG3" i="45"/>
  <c r="P3" i="45" s="1"/>
  <c r="AK6" i="44"/>
  <c r="AP6" i="44"/>
  <c r="Q6" i="44" s="1"/>
  <c r="G4" i="44"/>
  <c r="AB4" i="44" s="1"/>
  <c r="AO5" i="44"/>
  <c r="AK5" i="44" s="1"/>
  <c r="L3" i="44"/>
  <c r="AD3" i="44" s="1"/>
  <c r="AK3" i="44"/>
  <c r="J4" i="44"/>
  <c r="F5" i="44"/>
  <c r="AG5" i="44"/>
  <c r="P5" i="44" s="1"/>
  <c r="N3" i="44"/>
  <c r="O3" i="44"/>
  <c r="M4" i="44"/>
  <c r="AD4" i="44" s="1"/>
  <c r="AM4" i="44"/>
  <c r="AP4" i="44" s="1"/>
  <c r="Q4" i="44" s="1"/>
  <c r="I5" i="44"/>
  <c r="O5" i="44" s="1"/>
  <c r="AG3" i="44"/>
  <c r="P3" i="44" s="1"/>
  <c r="H6" i="44"/>
  <c r="AC6" i="44" s="1"/>
  <c r="F4" i="43"/>
  <c r="AB4" i="43" s="1"/>
  <c r="K6" i="43"/>
  <c r="O6" i="43" s="1"/>
  <c r="F5" i="43"/>
  <c r="AG5" i="43"/>
  <c r="P5" i="43" s="1"/>
  <c r="N6" i="43"/>
  <c r="M3" i="43"/>
  <c r="K4" i="43"/>
  <c r="AC4" i="43" s="1"/>
  <c r="G5" i="43"/>
  <c r="O5" i="43" s="1"/>
  <c r="AN5" i="43"/>
  <c r="AP5" i="43" s="1"/>
  <c r="Q5" i="43" s="1"/>
  <c r="AK3" i="43"/>
  <c r="N3" i="43"/>
  <c r="L4" i="43"/>
  <c r="AD4" i="43" s="1"/>
  <c r="AG3" i="43"/>
  <c r="P3" i="43" s="1"/>
  <c r="I3" i="43"/>
  <c r="AB3" i="43" s="1"/>
  <c r="AK6" i="42"/>
  <c r="AK3" i="42"/>
  <c r="M3" i="42"/>
  <c r="O3" i="42" s="1"/>
  <c r="G5" i="42"/>
  <c r="Q5" i="42"/>
  <c r="O6" i="42"/>
  <c r="AG6" i="42"/>
  <c r="P6" i="42" s="1"/>
  <c r="AK4" i="42"/>
  <c r="F6" i="42"/>
  <c r="AG3" i="42"/>
  <c r="P3" i="42" s="1"/>
  <c r="N4" i="42"/>
  <c r="O4" i="42"/>
  <c r="AG4" i="42"/>
  <c r="P4" i="42" s="1"/>
  <c r="K4" i="41"/>
  <c r="G6" i="41"/>
  <c r="I3" i="41"/>
  <c r="H3" i="41"/>
  <c r="I6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M5" i="41"/>
  <c r="L5" i="41"/>
  <c r="AD5" i="41" s="1"/>
  <c r="I5" i="41"/>
  <c r="H5" i="41"/>
  <c r="F5" i="41"/>
  <c r="AJ4" i="41"/>
  <c r="AO5" i="41" s="1"/>
  <c r="AI4" i="41"/>
  <c r="AH4" i="41"/>
  <c r="AM6" i="41" s="1"/>
  <c r="M4" i="41"/>
  <c r="L4" i="41"/>
  <c r="AD4" i="41" s="1"/>
  <c r="J4" i="41"/>
  <c r="G4" i="41"/>
  <c r="F4" i="41"/>
  <c r="AM3" i="41"/>
  <c r="AJ3" i="41"/>
  <c r="AO6" i="41" s="1"/>
  <c r="AI3" i="41"/>
  <c r="AN4" i="41" s="1"/>
  <c r="AH3" i="41"/>
  <c r="AM5" i="41" s="1"/>
  <c r="K3" i="41"/>
  <c r="J3" i="41"/>
  <c r="K4" i="40"/>
  <c r="G6" i="40"/>
  <c r="I3" i="40"/>
  <c r="H3" i="40"/>
  <c r="I6" i="40"/>
  <c r="AJ6" i="40"/>
  <c r="AO3" i="40" s="1"/>
  <c r="AI6" i="40"/>
  <c r="AN5" i="40" s="1"/>
  <c r="AH6" i="40"/>
  <c r="K6" i="40"/>
  <c r="J6" i="40"/>
  <c r="H6" i="40"/>
  <c r="F6" i="40"/>
  <c r="AB6" i="40" s="1"/>
  <c r="AJ5" i="40"/>
  <c r="AO4" i="40" s="1"/>
  <c r="AI5" i="40"/>
  <c r="M5" i="40"/>
  <c r="L5" i="40"/>
  <c r="I5" i="40"/>
  <c r="H5" i="40"/>
  <c r="AJ4" i="40"/>
  <c r="AO5" i="40" s="1"/>
  <c r="AI4" i="40"/>
  <c r="AN3" i="40" s="1"/>
  <c r="AH4" i="40"/>
  <c r="AM6" i="40" s="1"/>
  <c r="M4" i="40"/>
  <c r="L4" i="40"/>
  <c r="J4" i="40"/>
  <c r="G4" i="40"/>
  <c r="F4" i="40"/>
  <c r="AM3" i="40"/>
  <c r="AJ3" i="40"/>
  <c r="AO6" i="40" s="1"/>
  <c r="AI3" i="40"/>
  <c r="AN4" i="40" s="1"/>
  <c r="AH3" i="40"/>
  <c r="AM5" i="40" s="1"/>
  <c r="K3" i="40"/>
  <c r="J3" i="40"/>
  <c r="K4" i="39"/>
  <c r="G6" i="39"/>
  <c r="I3" i="39"/>
  <c r="H3" i="39"/>
  <c r="I6" i="39"/>
  <c r="AJ6" i="39"/>
  <c r="AO3" i="39" s="1"/>
  <c r="AI6" i="39"/>
  <c r="AH6" i="39"/>
  <c r="K6" i="39"/>
  <c r="J6" i="39"/>
  <c r="H6" i="39"/>
  <c r="F6" i="39"/>
  <c r="AB6" i="39" s="1"/>
  <c r="AN5" i="39"/>
  <c r="AJ5" i="39"/>
  <c r="AO4" i="39" s="1"/>
  <c r="AI5" i="39"/>
  <c r="AN6" i="39" s="1"/>
  <c r="M5" i="39"/>
  <c r="L5" i="39"/>
  <c r="I5" i="39"/>
  <c r="H5" i="39"/>
  <c r="F5" i="39"/>
  <c r="AJ4" i="39"/>
  <c r="AO5" i="39" s="1"/>
  <c r="AI4" i="39"/>
  <c r="AN3" i="39" s="1"/>
  <c r="AH4" i="39"/>
  <c r="AM6" i="39" s="1"/>
  <c r="M4" i="39"/>
  <c r="L4" i="39"/>
  <c r="J4" i="39"/>
  <c r="G4" i="39"/>
  <c r="F4" i="39"/>
  <c r="AM3" i="39"/>
  <c r="AJ3" i="39"/>
  <c r="AO6" i="39" s="1"/>
  <c r="AI3" i="39"/>
  <c r="AN4" i="39" s="1"/>
  <c r="AH3" i="39"/>
  <c r="AM5" i="39" s="1"/>
  <c r="M3" i="39"/>
  <c r="L3" i="39"/>
  <c r="K3" i="39"/>
  <c r="J3" i="39"/>
  <c r="AC4" i="40" l="1"/>
  <c r="AC4" i="41"/>
  <c r="O3" i="43"/>
  <c r="N3" i="45"/>
  <c r="AC6" i="39"/>
  <c r="O4" i="45"/>
  <c r="AC5" i="44"/>
  <c r="AC4" i="39"/>
  <c r="AD6" i="39"/>
  <c r="O4" i="43"/>
  <c r="O4" i="44"/>
  <c r="AD3" i="45"/>
  <c r="AD3" i="42"/>
  <c r="O3" i="45"/>
  <c r="AD3" i="43"/>
  <c r="R3" i="43" s="1"/>
  <c r="O5" i="45"/>
  <c r="AD4" i="45"/>
  <c r="N4" i="45"/>
  <c r="AD6" i="43"/>
  <c r="R6" i="43" s="1"/>
  <c r="N4" i="43"/>
  <c r="R4" i="43" s="1"/>
  <c r="AB5" i="43"/>
  <c r="N5" i="43"/>
  <c r="AC4" i="44"/>
  <c r="N4" i="44"/>
  <c r="N6" i="44"/>
  <c r="R6" i="44" s="1"/>
  <c r="R3" i="44"/>
  <c r="AB5" i="44"/>
  <c r="N5" i="44"/>
  <c r="AC5" i="40"/>
  <c r="AD6" i="40"/>
  <c r="AD5" i="40"/>
  <c r="AB3" i="40"/>
  <c r="AB4" i="40"/>
  <c r="AC6" i="40"/>
  <c r="AD4" i="40"/>
  <c r="AC3" i="40"/>
  <c r="AC5" i="39"/>
  <c r="AD3" i="39"/>
  <c r="AD5" i="39"/>
  <c r="AB4" i="39"/>
  <c r="AB3" i="39"/>
  <c r="N6" i="39"/>
  <c r="AD4" i="39"/>
  <c r="AC3" i="39"/>
  <c r="N5" i="39"/>
  <c r="AB6" i="42"/>
  <c r="N6" i="42"/>
  <c r="R3" i="42"/>
  <c r="Q7" i="42"/>
  <c r="AC5" i="41"/>
  <c r="N5" i="41"/>
  <c r="AB3" i="41"/>
  <c r="AB4" i="41"/>
  <c r="AC3" i="41"/>
  <c r="AK5" i="43"/>
  <c r="P7" i="43"/>
  <c r="AG4" i="41"/>
  <c r="P4" i="41" s="1"/>
  <c r="AG4" i="40"/>
  <c r="P4" i="40" s="1"/>
  <c r="AP6" i="39"/>
  <c r="Q6" i="39" s="1"/>
  <c r="N6" i="45"/>
  <c r="R6" i="45" s="1"/>
  <c r="AD5" i="45"/>
  <c r="AB5" i="45"/>
  <c r="P7" i="45"/>
  <c r="AC3" i="45"/>
  <c r="R3" i="45" s="1"/>
  <c r="N5" i="45"/>
  <c r="AP3" i="39"/>
  <c r="Q3" i="39" s="1"/>
  <c r="AP6" i="43"/>
  <c r="Q6" i="43" s="1"/>
  <c r="Q7" i="43" s="1"/>
  <c r="AP5" i="41"/>
  <c r="Q5" i="41" s="1"/>
  <c r="AK6" i="41"/>
  <c r="AK5" i="41"/>
  <c r="AN3" i="41"/>
  <c r="AP3" i="41" s="1"/>
  <c r="Q3" i="41" s="1"/>
  <c r="AP3" i="40"/>
  <c r="Q3" i="40" s="1"/>
  <c r="AP5" i="40"/>
  <c r="Q5" i="40" s="1"/>
  <c r="AK5" i="40"/>
  <c r="AP5" i="39"/>
  <c r="Q5" i="39" s="1"/>
  <c r="AG5" i="39"/>
  <c r="P5" i="39" s="1"/>
  <c r="AG4" i="39"/>
  <c r="P4" i="39" s="1"/>
  <c r="AK4" i="45"/>
  <c r="AP4" i="45"/>
  <c r="Q4" i="45" s="1"/>
  <c r="Q7" i="45" s="1"/>
  <c r="AK4" i="44"/>
  <c r="P7" i="44"/>
  <c r="AP5" i="44"/>
  <c r="Q5" i="44" s="1"/>
  <c r="Q7" i="44" s="1"/>
  <c r="P7" i="42"/>
  <c r="R4" i="42"/>
  <c r="AP6" i="41"/>
  <c r="L3" i="41"/>
  <c r="AD3" i="41" s="1"/>
  <c r="AG5" i="41"/>
  <c r="P5" i="41" s="1"/>
  <c r="M3" i="41"/>
  <c r="O3" i="41" s="1"/>
  <c r="G5" i="41"/>
  <c r="O5" i="41" s="1"/>
  <c r="O6" i="41"/>
  <c r="AG6" i="41"/>
  <c r="AG3" i="41"/>
  <c r="P3" i="41" s="1"/>
  <c r="N4" i="41"/>
  <c r="N3" i="41"/>
  <c r="AM4" i="41"/>
  <c r="O4" i="41"/>
  <c r="AN6" i="40"/>
  <c r="AP6" i="40" s="1"/>
  <c r="Q6" i="40" s="1"/>
  <c r="L3" i="40"/>
  <c r="AK3" i="40"/>
  <c r="F5" i="40"/>
  <c r="AG5" i="40"/>
  <c r="P5" i="40" s="1"/>
  <c r="N6" i="40"/>
  <c r="M3" i="40"/>
  <c r="O3" i="40" s="1"/>
  <c r="G5" i="40"/>
  <c r="O5" i="40" s="1"/>
  <c r="O6" i="40"/>
  <c r="AG6" i="40"/>
  <c r="P6" i="40" s="1"/>
  <c r="AM4" i="40"/>
  <c r="AP4" i="40" s="1"/>
  <c r="Q4" i="40" s="1"/>
  <c r="P3" i="40"/>
  <c r="AG3" i="40"/>
  <c r="N4" i="40"/>
  <c r="N3" i="40"/>
  <c r="O4" i="40"/>
  <c r="AK6" i="39"/>
  <c r="AK5" i="39"/>
  <c r="G5" i="39"/>
  <c r="O5" i="39" s="1"/>
  <c r="O6" i="39"/>
  <c r="AG6" i="39"/>
  <c r="P6" i="39" s="1"/>
  <c r="AK3" i="39"/>
  <c r="N3" i="39"/>
  <c r="O3" i="39"/>
  <c r="AM4" i="39"/>
  <c r="AP4" i="39" s="1"/>
  <c r="Q4" i="39" s="1"/>
  <c r="AG3" i="39"/>
  <c r="P3" i="39" s="1"/>
  <c r="N4" i="39"/>
  <c r="O4" i="39"/>
  <c r="G6" i="38"/>
  <c r="K6" i="38"/>
  <c r="AJ6" i="38"/>
  <c r="AO3" i="38" s="1"/>
  <c r="AI6" i="38"/>
  <c r="AN5" i="38" s="1"/>
  <c r="AH6" i="38"/>
  <c r="AM4" i="38" s="1"/>
  <c r="J6" i="38"/>
  <c r="N6" i="38" s="1"/>
  <c r="H6" i="38"/>
  <c r="F6" i="38"/>
  <c r="AJ5" i="38"/>
  <c r="AO4" i="38" s="1"/>
  <c r="AI5" i="38"/>
  <c r="AN6" i="38" s="1"/>
  <c r="M5" i="38"/>
  <c r="L5" i="38"/>
  <c r="I5" i="38"/>
  <c r="F5" i="38"/>
  <c r="AJ4" i="38"/>
  <c r="AO5" i="38" s="1"/>
  <c r="AI4" i="38"/>
  <c r="AH4" i="38"/>
  <c r="AM6" i="38" s="1"/>
  <c r="M4" i="38"/>
  <c r="J4" i="38"/>
  <c r="G4" i="38"/>
  <c r="F4" i="38"/>
  <c r="AJ3" i="38"/>
  <c r="AO6" i="38" s="1"/>
  <c r="AI3" i="38"/>
  <c r="AN4" i="38" s="1"/>
  <c r="AH3" i="38"/>
  <c r="AM5" i="38" s="1"/>
  <c r="M3" i="38"/>
  <c r="L3" i="38"/>
  <c r="K3" i="38"/>
  <c r="J3" i="38"/>
  <c r="I3" i="38"/>
  <c r="H3" i="38"/>
  <c r="AB5" i="41" l="1"/>
  <c r="R6" i="41"/>
  <c r="R4" i="45"/>
  <c r="R5" i="43"/>
  <c r="R4" i="44"/>
  <c r="R5" i="44"/>
  <c r="AD3" i="40"/>
  <c r="R3" i="40" s="1"/>
  <c r="Q7" i="40"/>
  <c r="AB5" i="40"/>
  <c r="N5" i="40"/>
  <c r="AD3" i="38"/>
  <c r="AB6" i="38"/>
  <c r="AD5" i="38"/>
  <c r="AD6" i="38"/>
  <c r="AB3" i="38"/>
  <c r="AB4" i="38"/>
  <c r="AC3" i="38"/>
  <c r="Q7" i="39"/>
  <c r="AB5" i="39"/>
  <c r="R5" i="39" s="1"/>
  <c r="P7" i="39"/>
  <c r="R3" i="39"/>
  <c r="R6" i="42"/>
  <c r="P7" i="41"/>
  <c r="P7" i="40"/>
  <c r="AK3" i="41"/>
  <c r="R3" i="41" s="1"/>
  <c r="AG5" i="38"/>
  <c r="P5" i="38" s="1"/>
  <c r="AK6" i="40"/>
  <c r="R6" i="40" s="1"/>
  <c r="AG4" i="38"/>
  <c r="P4" i="38" s="1"/>
  <c r="R6" i="39"/>
  <c r="R5" i="45"/>
  <c r="R5" i="41"/>
  <c r="AK4" i="39"/>
  <c r="R4" i="39" s="1"/>
  <c r="AM3" i="38"/>
  <c r="AP4" i="38"/>
  <c r="Q4" i="38" s="1"/>
  <c r="AK6" i="38"/>
  <c r="AK4" i="41"/>
  <c r="R4" i="41" s="1"/>
  <c r="AP4" i="41"/>
  <c r="Q4" i="41" s="1"/>
  <c r="Q7" i="41" s="1"/>
  <c r="AK4" i="40"/>
  <c r="R4" i="40" s="1"/>
  <c r="AP6" i="38"/>
  <c r="Q6" i="38" s="1"/>
  <c r="AK5" i="38"/>
  <c r="AP5" i="38"/>
  <c r="Q5" i="38" s="1"/>
  <c r="K4" i="38"/>
  <c r="O4" i="38" s="1"/>
  <c r="G5" i="38"/>
  <c r="AB5" i="38" s="1"/>
  <c r="AG6" i="38"/>
  <c r="P6" i="38" s="1"/>
  <c r="AK4" i="38"/>
  <c r="H5" i="38"/>
  <c r="AC5" i="38" s="1"/>
  <c r="O3" i="38"/>
  <c r="N3" i="38"/>
  <c r="AN3" i="38"/>
  <c r="L4" i="38"/>
  <c r="AD4" i="38" s="1"/>
  <c r="P3" i="38"/>
  <c r="AG3" i="38"/>
  <c r="I6" i="38"/>
  <c r="O6" i="38" s="1"/>
  <c r="O5" i="38"/>
  <c r="G6" i="10"/>
  <c r="K6" i="10"/>
  <c r="G4" i="10"/>
  <c r="Q4" i="10"/>
  <c r="AJ6" i="10"/>
  <c r="AI6" i="10"/>
  <c r="AN5" i="10" s="1"/>
  <c r="AH6" i="10"/>
  <c r="AM4" i="10" s="1"/>
  <c r="J6" i="10"/>
  <c r="H6" i="10"/>
  <c r="AC6" i="10" s="1"/>
  <c r="F6" i="10"/>
  <c r="AJ5" i="10"/>
  <c r="AI5" i="10"/>
  <c r="AN6" i="10" s="1"/>
  <c r="AM3" i="10"/>
  <c r="I5" i="10"/>
  <c r="F5" i="10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M3" i="10"/>
  <c r="L3" i="10"/>
  <c r="K3" i="10"/>
  <c r="J3" i="10"/>
  <c r="I3" i="10"/>
  <c r="H3" i="10"/>
  <c r="AB3" i="10" s="1"/>
  <c r="O6" i="9"/>
  <c r="L3" i="9"/>
  <c r="AD3" i="9" s="1"/>
  <c r="O4" i="9"/>
  <c r="G4" i="9"/>
  <c r="AJ6" i="9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O3" i="9"/>
  <c r="AM3" i="9"/>
  <c r="AJ3" i="9"/>
  <c r="AO6" i="9" s="1"/>
  <c r="AI3" i="9"/>
  <c r="AN4" i="9" s="1"/>
  <c r="AH3" i="9"/>
  <c r="AM5" i="9" s="1"/>
  <c r="K3" i="9"/>
  <c r="J3" i="9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N5" i="38" l="1"/>
  <c r="AC6" i="38"/>
  <c r="AC4" i="38"/>
  <c r="R5" i="40"/>
  <c r="P7" i="38"/>
  <c r="N4" i="38"/>
  <c r="R4" i="38" s="1"/>
  <c r="R5" i="38"/>
  <c r="N3" i="10"/>
  <c r="AD3" i="10"/>
  <c r="AB6" i="10"/>
  <c r="O3" i="10"/>
  <c r="AD6" i="10"/>
  <c r="AC3" i="10"/>
  <c r="O5" i="5"/>
  <c r="AB4" i="6"/>
  <c r="AC3" i="6"/>
  <c r="AC3" i="9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Q3" i="38" s="1"/>
  <c r="Q7" i="38" s="1"/>
  <c r="AP6" i="5"/>
  <c r="AG3" i="7"/>
  <c r="AG3" i="6"/>
  <c r="P3" i="6" s="1"/>
  <c r="AP6" i="6"/>
  <c r="AG4" i="10"/>
  <c r="AO4" i="10"/>
  <c r="AP4" i="10" s="1"/>
  <c r="AK6" i="9"/>
  <c r="AP5" i="9"/>
  <c r="Q5" i="9" s="1"/>
  <c r="AP3" i="9"/>
  <c r="Q3" i="9" s="1"/>
  <c r="AG5" i="9"/>
  <c r="P5" i="9" s="1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AK3" i="38"/>
  <c r="R3" i="38" s="1"/>
  <c r="AP6" i="10"/>
  <c r="Q6" i="10" s="1"/>
  <c r="AK6" i="10"/>
  <c r="N6" i="10"/>
  <c r="L5" i="10"/>
  <c r="M5" i="10"/>
  <c r="AK5" i="10"/>
  <c r="AP5" i="10"/>
  <c r="Q5" i="10" s="1"/>
  <c r="K4" i="10"/>
  <c r="G5" i="10"/>
  <c r="AB5" i="10" s="1"/>
  <c r="AG6" i="10"/>
  <c r="P6" i="10" s="1"/>
  <c r="AN3" i="10"/>
  <c r="L4" i="10"/>
  <c r="AD4" i="10" s="1"/>
  <c r="H5" i="10"/>
  <c r="AC5" i="10" s="1"/>
  <c r="AO3" i="10"/>
  <c r="AG3" i="10"/>
  <c r="P3" i="10" s="1"/>
  <c r="N4" i="10"/>
  <c r="O4" i="10"/>
  <c r="I6" i="10"/>
  <c r="O6" i="10" s="1"/>
  <c r="P4" i="10"/>
  <c r="AG4" i="8"/>
  <c r="P4" i="8" s="1"/>
  <c r="AG4" i="9"/>
  <c r="P4" i="9" s="1"/>
  <c r="F4" i="9"/>
  <c r="AB4" i="9" s="1"/>
  <c r="AP6" i="9"/>
  <c r="AK3" i="9"/>
  <c r="F5" i="9"/>
  <c r="N6" i="9"/>
  <c r="M3" i="9"/>
  <c r="G5" i="9"/>
  <c r="O5" i="9" s="1"/>
  <c r="AG6" i="9"/>
  <c r="R6" i="9" s="1"/>
  <c r="H3" i="9"/>
  <c r="N3" i="9" s="1"/>
  <c r="AG3" i="9"/>
  <c r="P3" i="9" s="1"/>
  <c r="N4" i="9"/>
  <c r="AK5" i="9"/>
  <c r="AM4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N3" i="7" s="1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N4" i="24" l="1"/>
  <c r="N5" i="10"/>
  <c r="O5" i="10"/>
  <c r="O4" i="24"/>
  <c r="R4" i="24" s="1"/>
  <c r="O3" i="24"/>
  <c r="AC3" i="24"/>
  <c r="AB5" i="9"/>
  <c r="N5" i="9"/>
  <c r="O5" i="6"/>
  <c r="R5" i="6" s="1"/>
  <c r="N4" i="7"/>
  <c r="O3" i="7"/>
  <c r="O5" i="8"/>
  <c r="O6" i="8"/>
  <c r="R6" i="8" s="1"/>
  <c r="AB5" i="8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P7" i="10"/>
  <c r="AD5" i="10"/>
  <c r="AP3" i="10"/>
  <c r="Q3" i="10" s="1"/>
  <c r="Q7" i="10" s="1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5" i="9" l="1"/>
  <c r="R5" i="10"/>
  <c r="R3" i="24"/>
  <c r="R3" i="7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25" i="19"/>
  <c r="D45" i="36" l="1"/>
  <c r="D46" i="36"/>
  <c r="D38" i="36"/>
  <c r="D37" i="36"/>
  <c r="D4" i="1"/>
  <c r="C3" i="37" s="1"/>
  <c r="M34" i="19"/>
  <c r="M21" i="19"/>
  <c r="M23" i="19"/>
  <c r="M4" i="19"/>
  <c r="M7" i="19"/>
  <c r="M44" i="19"/>
  <c r="M40" i="19"/>
  <c r="M27" i="19"/>
  <c r="M9" i="19"/>
  <c r="M20" i="19"/>
  <c r="M47" i="19"/>
  <c r="M28" i="19"/>
  <c r="M36" i="19"/>
  <c r="M41" i="19"/>
  <c r="M45" i="19"/>
  <c r="M49" i="19"/>
  <c r="M51" i="19"/>
  <c r="M46" i="19"/>
  <c r="M12" i="19"/>
  <c r="M42" i="19"/>
  <c r="M24" i="19"/>
  <c r="M48" i="19"/>
  <c r="M37" i="19"/>
  <c r="M38" i="19"/>
  <c r="M5" i="19"/>
  <c r="M52" i="19"/>
  <c r="M50" i="19"/>
  <c r="M16" i="19"/>
  <c r="M26" i="19"/>
  <c r="M53" i="19"/>
  <c r="M39" i="19"/>
  <c r="M31" i="19"/>
  <c r="M10" i="19"/>
  <c r="M3" i="19"/>
  <c r="M54" i="19"/>
  <c r="M6" i="19"/>
  <c r="M8" i="19"/>
  <c r="M32" i="19"/>
  <c r="M55" i="19"/>
  <c r="M33" i="19"/>
  <c r="M30" i="19"/>
  <c r="M56" i="19"/>
  <c r="M14" i="19"/>
  <c r="M43" i="19"/>
  <c r="M29" i="19"/>
  <c r="M22" i="19"/>
  <c r="M17" i="19"/>
  <c r="M57" i="19"/>
  <c r="M13" i="19"/>
  <c r="M19" i="19"/>
  <c r="M58" i="19"/>
  <c r="M59" i="19"/>
  <c r="M60" i="19"/>
  <c r="M61" i="19"/>
  <c r="M62" i="19"/>
  <c r="M63" i="19"/>
  <c r="M64" i="19"/>
  <c r="M65" i="19"/>
  <c r="M66" i="19"/>
  <c r="M15" i="19"/>
  <c r="M35" i="19"/>
  <c r="M18" i="19"/>
  <c r="M11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L4" i="23"/>
  <c r="AD4" i="23" s="1"/>
  <c r="I6" i="23"/>
  <c r="M4" i="23"/>
  <c r="H6" i="23"/>
  <c r="G5" i="23"/>
  <c r="O5" i="23" s="1"/>
  <c r="J3" i="23"/>
  <c r="F5" i="23"/>
  <c r="N5" i="23" s="1"/>
  <c r="K3" i="23"/>
  <c r="AP3" i="23"/>
  <c r="Q3" i="23" s="1"/>
  <c r="AD5" i="23"/>
  <c r="AG4" i="23"/>
  <c r="P4" i="23" s="1"/>
  <c r="AK5" i="23"/>
  <c r="AK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B4" i="23" l="1"/>
  <c r="O4" i="23"/>
  <c r="AB3" i="23"/>
  <c r="O3" i="23"/>
  <c r="N4" i="23"/>
  <c r="N3" i="23"/>
  <c r="N6" i="23"/>
  <c r="O6" i="23"/>
  <c r="AC6" i="23"/>
  <c r="AC3" i="23"/>
  <c r="AB5" i="23"/>
  <c r="R5" i="23" s="1"/>
  <c r="Q7" i="23"/>
  <c r="P7" i="23"/>
  <c r="AK6" i="23"/>
  <c r="AD3" i="23"/>
  <c r="AK4" i="23"/>
  <c r="C3" i="23"/>
  <c r="C4" i="23"/>
  <c r="C5" i="23"/>
  <c r="C6" i="23"/>
  <c r="R4" i="23" l="1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5" i="26" l="1"/>
  <c r="Q7" i="26" s="1"/>
  <c r="BE55" i="21"/>
  <c r="BF55" i="21"/>
  <c r="BF54" i="21"/>
  <c r="Q5" i="21"/>
  <c r="E19" i="1" l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3" i="44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C14" i="43" s="1"/>
  <c r="J20" i="1"/>
  <c r="C4" i="45" s="1"/>
  <c r="T4" i="45" l="1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C14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E14" i="45" s="1"/>
  <c r="C18" i="45" l="1"/>
  <c r="C14" i="45"/>
  <c r="C17" i="45"/>
  <c r="E10" i="45"/>
  <c r="E13" i="45"/>
  <c r="T5" i="45"/>
  <c r="E18" i="45"/>
  <c r="D30" i="36"/>
  <c r="D30" i="21"/>
  <c r="X3" i="44"/>
  <c r="X2" i="44"/>
  <c r="X4" i="44"/>
  <c r="X5" i="44"/>
  <c r="D29" i="36"/>
  <c r="D29" i="21"/>
  <c r="G59" i="21" s="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G12" i="21" s="1"/>
  <c r="D10" i="21"/>
  <c r="G47" i="21" s="1"/>
  <c r="D15" i="21"/>
  <c r="G55" i="21"/>
  <c r="D17" i="21"/>
  <c r="D16" i="21"/>
  <c r="G39" i="21" s="1"/>
  <c r="Q38" i="21" s="1"/>
  <c r="BG64" i="21" s="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20" i="21"/>
  <c r="G40" i="21"/>
  <c r="G31" i="21"/>
  <c r="Q30" i="21" s="1"/>
  <c r="G36" i="21"/>
  <c r="G16" i="21"/>
  <c r="G44" i="21"/>
  <c r="G24" i="21"/>
  <c r="G43" i="21"/>
  <c r="G23" i="21"/>
  <c r="Q22" i="21" s="1"/>
  <c r="BG62" i="21" s="1"/>
  <c r="G28" i="21"/>
  <c r="G32" i="21"/>
  <c r="H33" i="22"/>
  <c r="R34" i="22" s="1"/>
  <c r="AB32" i="22" s="1"/>
  <c r="AL37" i="22" s="1"/>
  <c r="AW35" i="22" s="1"/>
  <c r="D7" i="21"/>
  <c r="G11" i="21" s="1"/>
  <c r="Q13" i="21" s="1"/>
  <c r="D7" i="22"/>
  <c r="D8" i="21"/>
  <c r="G56" i="21" s="1"/>
  <c r="Q54" i="21" s="1"/>
  <c r="D8" i="22"/>
  <c r="G35" i="21" l="1"/>
  <c r="Q37" i="21" s="1"/>
  <c r="AA41" i="21" s="1"/>
  <c r="AK49" i="21" s="1"/>
  <c r="Q45" i="21"/>
  <c r="AA9" i="21"/>
  <c r="AK17" i="21" s="1"/>
  <c r="AV33" i="21" s="1"/>
  <c r="Q44" i="26"/>
  <c r="G23" i="26"/>
  <c r="X5" i="45"/>
  <c r="X2" i="45"/>
  <c r="X4" i="45"/>
  <c r="X3" i="45"/>
  <c r="D32" i="36"/>
  <c r="D32" i="21"/>
  <c r="G63" i="21" s="1"/>
  <c r="D31" i="21"/>
  <c r="G27" i="21" s="1"/>
  <c r="Q29" i="21" s="1"/>
  <c r="BG63" i="21" s="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D5" i="26"/>
  <c r="G11" i="26" s="1"/>
  <c r="H46" i="22"/>
  <c r="D6" i="21"/>
  <c r="D11" i="2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3" i="21"/>
  <c r="D5" i="2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AA26" i="21" l="1"/>
  <c r="BG57" i="21" s="1"/>
  <c r="G19" i="21"/>
  <c r="Q21" i="21" s="1"/>
  <c r="AA25" i="21" s="1"/>
  <c r="AK18" i="21" s="1"/>
  <c r="AV41" i="21" s="1"/>
  <c r="G51" i="21"/>
  <c r="Q53" i="21" s="1"/>
  <c r="G48" i="21"/>
  <c r="Q46" i="21" s="1"/>
  <c r="BG65" i="21" s="1"/>
  <c r="G4" i="21"/>
  <c r="BF42" i="21"/>
  <c r="BF16" i="21"/>
  <c r="G60" i="21"/>
  <c r="Q61" i="21" s="1"/>
  <c r="BG67" i="21" s="1"/>
  <c r="G15" i="21"/>
  <c r="Q14" i="21" s="1"/>
  <c r="G7" i="21"/>
  <c r="Q6" i="21" s="1"/>
  <c r="G64" i="21"/>
  <c r="Q62" i="21" s="1"/>
  <c r="AA58" i="21" s="1"/>
  <c r="G47" i="26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G52" i="21" s="1"/>
  <c r="D33" i="36"/>
  <c r="D33" i="21"/>
  <c r="G8" i="21" s="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BG60" i="21" l="1"/>
  <c r="AA10" i="21"/>
  <c r="BG56" i="21"/>
  <c r="BG61" i="21"/>
  <c r="BH42" i="21"/>
  <c r="BH16" i="21"/>
  <c r="BG54" i="21"/>
  <c r="AA57" i="21"/>
  <c r="BG66" i="21"/>
  <c r="AA42" i="21"/>
  <c r="BG58" i="21" s="1"/>
  <c r="AX33" i="26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K50" i="21" l="1"/>
  <c r="BG59" i="21"/>
  <c r="AY19" i="26"/>
  <c r="AX31" i="26"/>
  <c r="AL38" i="22"/>
  <c r="AW26" i="22" s="1"/>
  <c r="BI15" i="22" s="1"/>
  <c r="BH16" i="22"/>
  <c r="BI29" i="22"/>
  <c r="AV34" i="21" l="1"/>
  <c r="AV42" i="21"/>
  <c r="BI28" i="22"/>
  <c r="BG55" i="21" l="1"/>
  <c r="BH19" i="21"/>
  <c r="BH45" i="21"/>
  <c r="BG15" i="21"/>
  <c r="BG40" i="21"/>
  <c r="BG52" i="21"/>
</calcChain>
</file>

<file path=xl/sharedStrings.xml><?xml version="1.0" encoding="utf-8"?>
<sst xmlns="http://schemas.openxmlformats.org/spreadsheetml/2006/main" count="2660" uniqueCount="819">
  <si>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</si>
  <si>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</si>
  <si>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</si>
  <si>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</si>
  <si>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</si>
  <si>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</si>
  <si>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</si>
  <si>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</si>
  <si>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</si>
  <si>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</si>
  <si>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</si>
  <si>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</si>
  <si>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</si>
  <si>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</si>
  <si>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</si>
  <si>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</si>
  <si>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</si>
  <si>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</si>
  <si>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</si>
  <si>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</si>
  <si>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</si>
  <si>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</si>
  <si>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</si>
  <si>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</si>
  <si>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</si>
  <si>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</si>
  <si>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</si>
  <si>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</si>
  <si>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</si>
  <si>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</si>
  <si>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</si>
  <si>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</si>
  <si>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</si>
  <si>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</si>
  <si>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</si>
  <si>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</si>
  <si>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</si>
  <si>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</si>
  <si>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</si>
  <si>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</si>
  <si>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</si>
  <si>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</si>
  <si>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</si>
  <si>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</si>
  <si>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</si>
  <si>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</si>
  <si>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</si>
  <si>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</si>
  <si>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</si>
  <si>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</si>
  <si>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</si>
  <si>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</si>
  <si>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</si>
  <si>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</si>
  <si>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</si>
  <si>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</si>
  <si>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</si>
  <si>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</si>
  <si>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</si>
  <si>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</si>
  <si>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</si>
  <si>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</si>
  <si>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</si>
  <si>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</si>
  <si>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</si>
  <si>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</si>
  <si>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</si>
  <si>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</si>
  <si>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</si>
  <si>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</si>
  <si>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</si>
  <si>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</si>
  <si>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</si>
  <si>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</si>
  <si>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</si>
  <si>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</si>
  <si>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</si>
  <si>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</si>
  <si>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</si>
  <si>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</si>
  <si>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</si>
  <si>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</si>
  <si>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</si>
  <si>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</si>
  <si>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</si>
  <si>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</si>
  <si>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</si>
  <si>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</si>
  <si>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</si>
  <si>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</si>
  <si>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</si>
  <si>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</si>
  <si>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</si>
  <si>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</si>
  <si>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</si>
  <si>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</si>
  <si>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</si>
  <si>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</si>
  <si>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</si>
  <si>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</si>
  <si>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</si>
  <si>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</si>
  <si>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</si>
  <si>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</si>
  <si>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</si>
  <si>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</si>
  <si>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</si>
  <si>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</si>
  <si>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</si>
  <si>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</si>
  <si>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</si>
  <si>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</si>
  <si>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</si>
  <si>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</si>
  <si>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</si>
  <si>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</si>
  <si>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</si>
  <si>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</si>
  <si>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</si>
  <si>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</si>
  <si>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</si>
  <si>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</si>
  <si>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</si>
  <si>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</si>
  <si>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</si>
  <si>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</si>
  <si>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</si>
  <si>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</si>
  <si>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</si>
  <si>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</si>
  <si>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</si>
  <si>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</si>
  <si>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</si>
  <si>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</si>
  <si>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</si>
  <si>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</si>
  <si>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</si>
  <si>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</si>
  <si>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</si>
  <si>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</si>
  <si>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</si>
  <si>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</si>
  <si>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</si>
  <si>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</si>
  <si>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</si>
  <si>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</si>
  <si>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</si>
  <si>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</si>
  <si>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</si>
  <si>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</si>
  <si>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</si>
  <si>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</si>
  <si>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</si>
  <si>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</si>
  <si>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</si>
  <si>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</si>
  <si>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</si>
  <si>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</si>
  <si>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</si>
  <si>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</si>
  <si>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</si>
  <si>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</si>
  <si>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</si>
  <si>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</si>
  <si>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</si>
  <si>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</si>
  <si>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</si>
  <si>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</si>
  <si>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</si>
  <si>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</si>
  <si>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</si>
  <si>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</si>
  <si>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</si>
  <si>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</si>
  <si>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</si>
  <si>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</si>
  <si>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</si>
  <si>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</si>
  <si>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</si>
  <si>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</si>
  <si>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</si>
  <si>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</si>
  <si>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</si>
  <si>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</si>
  <si>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</si>
  <si>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</si>
  <si>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</si>
  <si>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</si>
  <si>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</si>
  <si>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</si>
  <si>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</si>
  <si>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</si>
  <si>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</si>
  <si>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</si>
  <si>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</si>
  <si>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</si>
  <si>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</si>
  <si>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</si>
  <si>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</si>
  <si>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</si>
  <si>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</si>
  <si>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</si>
  <si>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</si>
  <si>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</si>
  <si>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</si>
  <si>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</si>
  <si>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</si>
  <si>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</si>
  <si>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</si>
  <si>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</si>
  <si>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</si>
  <si>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</si>
  <si>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</si>
  <si>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</si>
  <si>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</si>
  <si>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</si>
  <si>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</si>
  <si>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</si>
  <si>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</si>
  <si>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</si>
  <si>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</si>
  <si>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</si>
  <si>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</si>
  <si>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</si>
  <si>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</si>
  <si>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</si>
  <si>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</si>
  <si>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</si>
  <si>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</si>
  <si>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</si>
  <si>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</si>
  <si>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</si>
  <si>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</si>
  <si>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</si>
  <si>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</si>
  <si>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</si>
  <si>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</si>
  <si>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</si>
  <si>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</si>
  <si>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</si>
  <si>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</si>
  <si>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</si>
  <si>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</si>
  <si>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</si>
  <si>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</si>
  <si>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</si>
  <si>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</si>
  <si>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</si>
  <si>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</si>
  <si>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</si>
  <si>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</si>
  <si>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</si>
  <si>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</si>
  <si>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</si>
  <si>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</si>
  <si>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</si>
  <si>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</si>
  <si>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</si>
  <si>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</si>
  <si>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</si>
  <si>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</si>
  <si>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</si>
  <si>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</si>
  <si>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</si>
  <si>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</si>
  <si>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</si>
  <si>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</si>
  <si>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</si>
  <si>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</si>
  <si>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</si>
  <si>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</si>
  <si>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</si>
  <si>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</si>
  <si>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</si>
  <si>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</si>
  <si>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</si>
  <si>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</si>
  <si>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</si>
  <si>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</si>
  <si>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</si>
  <si>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</si>
  <si>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</si>
  <si>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</si>
  <si>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</si>
  <si>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</si>
  <si>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</si>
  <si>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</si>
  <si>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</si>
  <si>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</si>
  <si>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</si>
  <si>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</si>
  <si>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</si>
  <si>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</si>
  <si>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</si>
  <si>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</si>
  <si>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</si>
  <si>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</si>
  <si>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</si>
  <si>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</si>
  <si>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</si>
  <si>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</si>
  <si>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</si>
  <si>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</si>
  <si>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</si>
  <si>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</si>
  <si>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</si>
  <si>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</si>
  <si>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</si>
  <si>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</si>
  <si>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</si>
  <si>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</si>
  <si>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</si>
  <si>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</si>
  <si>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</si>
  <si>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</si>
  <si>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</si>
  <si>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</si>
  <si>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</si>
  <si>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</si>
  <si>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</si>
  <si>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</si>
  <si>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</si>
  <si>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</si>
  <si>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</si>
  <si>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</si>
  <si>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</si>
  <si>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</si>
  <si>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</si>
  <si>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</si>
  <si>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</si>
  <si>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</si>
  <si>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</si>
  <si>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</si>
  <si>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</si>
  <si>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</si>
  <si>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</si>
  <si>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</si>
  <si>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</si>
  <si>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</si>
  <si>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</si>
  <si>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</si>
  <si>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</si>
  <si>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</si>
  <si>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</si>
  <si>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</si>
  <si>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</si>
  <si>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</si>
  <si>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</si>
  <si>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</si>
  <si>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</si>
  <si>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</si>
  <si>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</si>
  <si>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</si>
  <si>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</si>
  <si>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</si>
  <si>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</si>
  <si>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</si>
  <si>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</si>
  <si>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</si>
  <si>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</si>
  <si>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</si>
  <si>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</si>
  <si>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</si>
  <si>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</si>
  <si>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</si>
  <si>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</si>
  <si>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</si>
  <si>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</si>
  <si>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</si>
  <si>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</si>
  <si>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</si>
  <si>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</si>
  <si>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</si>
  <si>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</si>
  <si>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</si>
  <si>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</si>
  <si>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</si>
  <si>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</si>
  <si>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</si>
  <si>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</si>
  <si>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</si>
  <si>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</si>
  <si>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</si>
  <si>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</si>
  <si>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</si>
  <si>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</si>
  <si>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</si>
  <si>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</si>
  <si>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</si>
  <si>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</si>
  <si>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</si>
  <si>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</si>
  <si>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</si>
  <si>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</si>
  <si>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</si>
  <si>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</si>
  <si>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</si>
  <si>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</si>
  <si>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</si>
  <si>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</si>
  <si>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</si>
  <si>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</si>
  <si>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</si>
  <si>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</si>
  <si>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</si>
  <si>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</si>
  <si>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</si>
  <si>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</si>
  <si>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</si>
  <si>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</si>
  <si>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</si>
  <si>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</si>
  <si>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</si>
  <si>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</si>
  <si>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</si>
  <si>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</si>
  <si>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</si>
  <si>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</si>
  <si>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</si>
  <si>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</si>
  <si>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</si>
  <si>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</si>
  <si>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</si>
  <si>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</si>
  <si>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</si>
  <si>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</si>
  <si>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</si>
  <si>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</si>
  <si>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</si>
  <si>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</si>
  <si>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</si>
  <si>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</si>
  <si>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</si>
  <si>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</si>
  <si>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</si>
  <si>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</si>
  <si>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</si>
  <si>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</si>
  <si>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</si>
  <si>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</si>
  <si>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</si>
  <si>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</si>
  <si>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</si>
  <si>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</si>
  <si>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</si>
  <si>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</si>
  <si>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</si>
  <si>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</si>
  <si>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</si>
  <si>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</si>
  <si>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</si>
  <si>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</si>
  <si>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</si>
  <si>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</si>
  <si>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</si>
  <si>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</si>
  <si>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</si>
  <si>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</si>
  <si>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</si>
  <si>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</si>
  <si>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</si>
  <si>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</si>
  <si>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</si>
  <si>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</si>
  <si>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</si>
  <si>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</si>
  <si>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</si>
  <si>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</si>
  <si>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</si>
  <si>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</si>
  <si>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</si>
  <si>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</si>
  <si>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</si>
  <si>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</si>
  <si>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</si>
  <si>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</si>
  <si>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</si>
  <si>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</si>
  <si>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</si>
  <si>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</si>
  <si>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</si>
  <si>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</si>
  <si>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</si>
  <si>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</si>
  <si>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</si>
  <si>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</si>
  <si>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</si>
  <si>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</si>
  <si>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</si>
  <si>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</si>
  <si>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</si>
  <si>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</si>
  <si>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</si>
  <si>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</si>
  <si>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</si>
  <si>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</si>
  <si>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</si>
  <si>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</si>
  <si>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</si>
  <si>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</si>
  <si>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</si>
  <si>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</si>
  <si>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</si>
  <si>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</si>
  <si>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</si>
  <si>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</si>
  <si>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</si>
  <si>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</si>
  <si>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</si>
  <si>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</si>
  <si>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</si>
  <si>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</si>
  <si>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</si>
  <si>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</si>
  <si>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</si>
  <si>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</si>
  <si>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</si>
  <si>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</si>
  <si>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</si>
  <si>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</si>
  <si>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</si>
  <si>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</si>
  <si>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</si>
  <si>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</si>
  <si>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</si>
  <si>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</si>
  <si>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</si>
  <si>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</si>
  <si>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</si>
  <si>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</si>
  <si>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</si>
  <si>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</si>
  <si>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</si>
  <si>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</si>
  <si>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</si>
  <si>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</si>
  <si>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</si>
  <si>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</si>
  <si>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</si>
  <si>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</si>
  <si>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</si>
  <si>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</si>
  <si>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</si>
  <si>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</si>
  <si>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</si>
  <si>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</si>
  <si>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</si>
  <si>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</si>
  <si>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</si>
  <si>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</si>
  <si>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</si>
  <si>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</si>
  <si>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</si>
  <si>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</si>
  <si>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</si>
  <si>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</si>
  <si>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</si>
  <si>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</si>
  <si>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</si>
  <si>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</si>
  <si>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</si>
  <si>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</si>
  <si>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</si>
  <si>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</si>
  <si>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</si>
  <si>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</si>
  <si>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</si>
  <si>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</si>
  <si>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</si>
  <si>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</si>
  <si>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</si>
  <si>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</si>
  <si>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</si>
  <si>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</si>
  <si>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</si>
  <si>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</si>
  <si>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</si>
  <si>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</si>
  <si>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</si>
  <si>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</si>
  <si>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</si>
  <si>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</si>
  <si>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</si>
  <si>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</si>
  <si>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</si>
  <si>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</si>
  <si>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</si>
  <si>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</si>
  <si>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</si>
  <si>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</si>
  <si>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</si>
  <si>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</si>
  <si>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</si>
  <si>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</si>
  <si>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</si>
  <si>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</si>
  <si>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</si>
  <si>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</si>
  <si>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</si>
  <si>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</si>
  <si>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</si>
  <si>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</si>
  <si>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</si>
  <si>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</si>
  <si>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</si>
  <si>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</si>
  <si>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</si>
  <si>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</si>
  <si>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</si>
  <si>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</si>
  <si>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</si>
  <si>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</si>
  <si>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</si>
  <si>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</si>
  <si>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</si>
  <si>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</si>
  <si>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</si>
  <si>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</si>
  <si>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</si>
  <si>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</si>
  <si>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</si>
  <si>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</si>
  <si>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</si>
  <si>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</si>
  <si>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</si>
  <si>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</si>
  <si>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</si>
  <si>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</si>
  <si>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</si>
  <si>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</si>
  <si>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</si>
  <si>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</si>
  <si>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</si>
  <si>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</si>
  <si>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</si>
  <si>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</si>
  <si>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</si>
  <si>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</si>
  <si>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</si>
  <si>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</si>
  <si>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</si>
  <si>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</si>
  <si>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</si>
  <si>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</si>
  <si>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</si>
  <si>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</si>
  <si>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</si>
  <si>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</si>
  <si>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</si>
  <si>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</si>
  <si>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</si>
  <si>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</si>
  <si>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</si>
  <si>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</si>
  <si>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</si>
  <si>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</si>
  <si>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</si>
  <si>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</si>
  <si>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</si>
  <si>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</si>
  <si>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</si>
  <si>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</si>
  <si>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</si>
  <si>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</si>
  <si>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</si>
  <si>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</si>
  <si>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</si>
  <si>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</si>
  <si>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</si>
  <si>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</si>
  <si>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</si>
  <si>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</si>
  <si>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</si>
  <si>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</si>
  <si>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</si>
  <si>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</si>
  <si>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</si>
  <si>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</si>
  <si>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</si>
  <si>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</si>
  <si>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</si>
  <si>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</si>
  <si>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</si>
  <si>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</si>
  <si>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</si>
  <si>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</si>
  <si>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</si>
  <si>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</si>
  <si>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</si>
  <si>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</si>
  <si>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</si>
  <si>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</si>
  <si>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</si>
  <si>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</si>
  <si>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</si>
  <si>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</si>
  <si>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</si>
  <si>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</si>
  <si>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</si>
  <si>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</si>
  <si>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</si>
  <si>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</si>
  <si>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</si>
  <si>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</si>
  <si>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</si>
  <si>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</si>
  <si>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</si>
  <si>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</si>
  <si>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</si>
  <si>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</si>
  <si>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</si>
  <si>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</si>
  <si>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</si>
  <si>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</si>
  <si>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</si>
  <si>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</si>
  <si>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</si>
  <si>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</si>
  <si>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</si>
  <si>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</si>
  <si>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</si>
  <si>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</si>
  <si>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</si>
  <si>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</si>
  <si>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</si>
  <si>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</si>
  <si>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</si>
  <si>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</si>
  <si>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</si>
  <si>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</si>
  <si>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</si>
  <si>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</si>
  <si>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</si>
  <si>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</si>
  <si>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</si>
  <si>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</si>
  <si>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</si>
  <si>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</si>
  <si>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</si>
  <si>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</si>
  <si>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</si>
  <si>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</si>
  <si>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</si>
  <si>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</si>
  <si>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</si>
  <si>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</si>
  <si>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</si>
  <si>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</si>
  <si>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</si>
  <si>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</si>
  <si>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</si>
  <si>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</si>
  <si>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</si>
  <si>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</si>
  <si>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</si>
  <si>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</si>
  <si>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</si>
  <si>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</si>
  <si>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</si>
  <si>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</si>
  <si>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</si>
  <si>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</si>
  <si>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</si>
  <si>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</si>
  <si>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</si>
  <si>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</si>
  <si>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</si>
  <si>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</si>
  <si>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</si>
  <si>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</si>
  <si>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</si>
  <si>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</si>
  <si>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</si>
  <si>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</si>
  <si>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</si>
  <si>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</si>
  <si>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</si>
  <si>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</si>
  <si>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</si>
  <si>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</si>
  <si>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</si>
  <si>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</si>
  <si>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</si>
  <si>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</si>
  <si>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</si>
  <si>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</si>
  <si>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</si>
  <si>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</si>
  <si>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</si>
  <si>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</si>
  <si>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</si>
  <si>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</si>
  <si>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</si>
  <si>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</si>
  <si>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</si>
  <si>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</si>
  <si>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</si>
  <si>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</si>
  <si>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</si>
  <si>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</si>
  <si>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</si>
  <si>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</si>
  <si>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</si>
  <si>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</si>
  <si>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</si>
  <si>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</si>
  <si>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</si>
  <si>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</si>
  <si>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</si>
  <si>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</si>
  <si>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</si>
  <si>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</si>
  <si>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</si>
  <si>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</si>
  <si>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</si>
  <si>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</si>
  <si>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СЕНИОРИ</t>
  </si>
  <si>
    <t>Огнен Илиески</t>
  </si>
  <si>
    <t>Јован Аврамоски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</si>
</sst>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4" fillId="0" borderId="0"/>
    <xf numFmtId="16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/>
    <xf numFmtId="167" fontId="37" fillId="0" borderId="0"/>
  </cellStyleXfs>
  <cellXfs count="53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30" xfId="0" applyFont="1" applyFill="1" applyBorder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30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30" xfId="0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33" fillId="0" borderId="22" xfId="0" applyFont="1" applyBorder="1" applyAlignment="1"/>
    <xf numFmtId="0" fontId="2" fillId="15" borderId="22" xfId="0" applyFont="1" applyFill="1" applyBorder="1"/>
    <xf numFmtId="0" fontId="2" fillId="0" borderId="22" xfId="0" applyFont="1" applyFill="1" applyBorder="1"/>
    <xf numFmtId="0" fontId="0" fillId="0" borderId="1" xfId="0" applyBorder="1"/>
    <xf numFmtId="0" fontId="0" fillId="0" borderId="1" xfId="0" applyBorder="1"/>
    <xf numFmtId="0" fontId="0" fillId="0" borderId="22" xfId="0" applyBorder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1" xfId="0" applyFill="1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left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topLeftCell="A46" workbookViewId="0">
      <selection activeCell="F105" sqref="F105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2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25" t="s">
        <v>123</v>
      </c>
      <c r="C1" s="426"/>
      <c r="D1" s="426"/>
      <c r="E1" s="426"/>
      <c r="F1" s="427" t="s">
        <v>121</v>
      </c>
      <c r="G1" s="428"/>
      <c r="H1" s="428"/>
      <c r="I1" s="428"/>
      <c r="J1" s="428"/>
      <c r="K1" s="428"/>
      <c r="L1" s="428"/>
      <c r="M1" s="428"/>
      <c r="N1" s="428"/>
      <c r="O1" s="429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23" t="s">
        <v>62</v>
      </c>
      <c r="C3" s="308">
        <v>1</v>
      </c>
      <c r="D3" s="334" t="str">
        <f>IF(ISERROR(VLOOKUP(C3,$G$3:$I$66,3,FALSE)),"",(VLOOKUP(C3,$G$3:$I$66,3,FALSE)))</f>
        <v>Филип Младеновски (70)</v>
      </c>
      <c r="E3" s="335" t="str">
        <f>IF(D3="","",INDEX($J$3:$J$42,MATCH(C3,$G$3:$G$42,0)))</f>
        <v>Шампион ФА</v>
      </c>
      <c r="F3" s="340">
        <v>39</v>
      </c>
      <c r="G3" s="289">
        <v>1</v>
      </c>
      <c r="H3" s="46">
        <v>70</v>
      </c>
      <c r="I3" s="341" t="str">
        <f>IF(ISERROR(VLOOKUP(H3,Baza!A:C,2,FALSE)&amp;" "&amp;"("&amp;H3&amp;")"),"",(VLOOKUP(H3,Baza!A:C,2,FALSE)&amp;" "&amp;"("&amp;H3&amp;")"))</f>
        <v>Филип Младеновски (70)</v>
      </c>
      <c r="J3" s="341" t="str">
        <f>IF(ISERROR(VLOOKUP(H3,Baza!A:C,3,FALSE)),"",(VLOOKUP(H3,Baza!A:C,3,FALSE)))</f>
        <v>Шампион ФА</v>
      </c>
      <c r="K3" s="356">
        <f>IF(ISERROR(VLOOKUP(H3,Baza!A:D,4,FALSE)),"",(VLOOKUP(H3,Baza!A:D,4,FALSE)))</f>
        <v>0</v>
      </c>
      <c r="M3" s="276" t="e">
        <f t="shared" ref="M3:M34" si="0">VLOOKUP(C3,$H$3:$J$66,3,FALSE)</f>
        <v>#N/A</v>
      </c>
      <c r="N3" s="276">
        <v>39</v>
      </c>
      <c r="O3" s="289">
        <v>764</v>
      </c>
    </row>
    <row r="4" spans="2:17">
      <c r="B4" s="421"/>
      <c r="C4" s="306">
        <v>2</v>
      </c>
      <c r="D4" s="328" t="str">
        <f t="shared" ref="D4:D67" si="1">IF(ISERROR(VLOOKUP(C4,$G$3:$I$66,3,FALSE)),"",(VLOOKUP(C4,$G$3:$I$66,3,FALSE)))</f>
        <v>Бобан Лашкоски (17)</v>
      </c>
      <c r="E4" s="329" t="str">
        <f t="shared" ref="E4:E64" si="2">IF(D4="","",INDEX($J$3:$J$42,MATCH(C4,$G$3:$G$42,0)))</f>
        <v>Младост 96</v>
      </c>
      <c r="F4" s="325">
        <v>9</v>
      </c>
      <c r="G4" s="281">
        <v>5</v>
      </c>
      <c r="H4" s="412">
        <v>12</v>
      </c>
      <c r="I4" s="292" t="str">
        <f>IF(ISERROR(VLOOKUP(H4,Baza!A:C,2,FALSE)&amp;" "&amp;"("&amp;H4&amp;")"),"",(VLOOKUP(H4,Baza!A:C,2,FALSE)&amp;" "&amp;"("&amp;H4&amp;")"))</f>
        <v>Петар Костовски (12)</v>
      </c>
      <c r="J4" s="292" t="str">
        <f>IF(ISERROR(VLOOKUP(H4,Baza!A:C,3,FALSE)),"",(VLOOKUP(H4,Baza!A:C,3,FALSE)))</f>
        <v>Младост 96</v>
      </c>
      <c r="K4" s="355">
        <f>IF(ISERROR(VLOOKUP(H4,Baza!A:D,4,FALSE)),"",(VLOOKUP(H4,Baza!A:D,4,FALSE)))</f>
        <v>0</v>
      </c>
      <c r="M4" s="276" t="str">
        <f t="shared" si="0"/>
        <v>Пелагонија</v>
      </c>
      <c r="N4" s="276">
        <v>9</v>
      </c>
      <c r="O4" s="280">
        <v>681</v>
      </c>
    </row>
    <row r="5" spans="2:17">
      <c r="B5" s="421"/>
      <c r="C5" s="306">
        <v>3</v>
      </c>
      <c r="D5" s="328" t="str">
        <f t="shared" si="1"/>
        <v>Даниел Ѓокановски (331)</v>
      </c>
      <c r="E5" s="329" t="str">
        <f t="shared" si="2"/>
        <v>Пелистер</v>
      </c>
      <c r="F5" s="325">
        <v>30</v>
      </c>
      <c r="G5" s="281">
        <v>9</v>
      </c>
      <c r="H5" s="412">
        <v>10</v>
      </c>
      <c r="I5" s="292" t="str">
        <f>IF(ISERROR(VLOOKUP(H5,Baza!A:C,2,FALSE)&amp;" "&amp;"("&amp;H5&amp;")"),"",(VLOOKUP(H5,Baza!A:C,2,FALSE)&amp;" "&amp;"("&amp;H5&amp;")"))</f>
        <v>Кристијан Станојковски (10)</v>
      </c>
      <c r="J5" s="292" t="str">
        <f>IF(ISERROR(VLOOKUP(H5,Baza!A:C,3,FALSE)),"",(VLOOKUP(H5,Baza!A:C,3,FALSE)))</f>
        <v>Крива Паланка</v>
      </c>
      <c r="K5" s="355">
        <f>IF(ISERROR(VLOOKUP(H5,Baza!A:D,4,FALSE)),"",(VLOOKUP(H5,Baza!A:D,4,FALSE)))</f>
        <v>0</v>
      </c>
      <c r="M5" s="276" t="str">
        <f t="shared" si="0"/>
        <v>Вардар</v>
      </c>
      <c r="N5" s="276">
        <v>30</v>
      </c>
      <c r="O5" s="280">
        <v>608</v>
      </c>
    </row>
    <row r="6" spans="2:17" ht="16.5" thickBot="1">
      <c r="B6" s="424"/>
      <c r="C6" s="309">
        <v>4</v>
      </c>
      <c r="D6" s="332" t="str">
        <f t="shared" si="1"/>
        <v/>
      </c>
      <c r="E6" s="333" t="str">
        <f t="shared" si="2"/>
        <v/>
      </c>
      <c r="F6" s="325">
        <v>41</v>
      </c>
      <c r="G6" s="280">
        <v>13</v>
      </c>
      <c r="H6" s="403">
        <v>72</v>
      </c>
      <c r="I6" s="292" t="str">
        <f>IF(ISERROR(VLOOKUP(H6,Baza!A:C,2,FALSE)&amp;" "&amp;"("&amp;H6&amp;")"),"",(VLOOKUP(H6,Baza!A:C,2,FALSE)&amp;" "&amp;"("&amp;H6&amp;")"))</f>
        <v>Дамјан Стојчев (72)</v>
      </c>
      <c r="J6" s="292" t="str">
        <f>IF(ISERROR(VLOOKUP(H6,Baza!A:C,3,FALSE)),"",(VLOOKUP(H6,Baza!A:C,3,FALSE)))</f>
        <v>Шампион ФА</v>
      </c>
      <c r="K6" s="355">
        <f>IF(ISERROR(VLOOKUP(H6,Baza!A:D,4,FALSE)),"",(VLOOKUP(H6,Baza!A:D,4,FALSE)))</f>
        <v>0</v>
      </c>
      <c r="M6" s="276" t="e">
        <f t="shared" si="0"/>
        <v>#N/A</v>
      </c>
      <c r="N6" s="276">
        <v>41</v>
      </c>
      <c r="O6" s="280">
        <v>408</v>
      </c>
    </row>
    <row r="7" spans="2:17">
      <c r="B7" s="420" t="s">
        <v>63</v>
      </c>
      <c r="C7" s="305">
        <v>5</v>
      </c>
      <c r="D7" s="326" t="str">
        <f t="shared" si="1"/>
        <v>Петар Костовски (12)</v>
      </c>
      <c r="E7" s="327" t="str">
        <f t="shared" si="2"/>
        <v>Младост 96</v>
      </c>
      <c r="F7" s="325">
        <v>10</v>
      </c>
      <c r="G7" s="281">
        <v>17</v>
      </c>
      <c r="H7" s="412">
        <v>3</v>
      </c>
      <c r="I7" s="292" t="str">
        <f>IF(ISERROR(VLOOKUP(H7,Baza!A:C,2,FALSE)&amp;" "&amp;"("&amp;H7&amp;")"),"",(VLOOKUP(H7,Baza!A:C,2,FALSE)&amp;" "&amp;"("&amp;H7&amp;")"))</f>
        <v>Алeксандар Марковиќ (3)</v>
      </c>
      <c r="J7" s="292" t="str">
        <f>IF(ISERROR(VLOOKUP(H7,Baza!A:C,3,FALSE)),"",(VLOOKUP(H7,Baza!A:C,3,FALSE)))</f>
        <v>Вардар</v>
      </c>
      <c r="K7" s="355">
        <f>IF(ISERROR(VLOOKUP(H7,Baza!A:D,4,FALSE)),"",(VLOOKUP(H7,Baza!A:D,4,FALSE)))</f>
        <v>0</v>
      </c>
      <c r="M7" s="276" t="str">
        <f t="shared" si="0"/>
        <v xml:space="preserve">10 60 Ѓорче Петров </v>
      </c>
      <c r="N7" s="276">
        <v>10</v>
      </c>
      <c r="O7" s="280">
        <v>386</v>
      </c>
    </row>
    <row r="8" spans="2:17">
      <c r="B8" s="421"/>
      <c r="C8" s="306">
        <v>6</v>
      </c>
      <c r="D8" s="328" t="str">
        <f t="shared" si="1"/>
        <v>Роберт Михајловски (58)</v>
      </c>
      <c r="E8" s="329" t="str">
        <f t="shared" si="2"/>
        <v>Телеком НЕЦ 2</v>
      </c>
      <c r="F8" s="325">
        <v>42</v>
      </c>
      <c r="G8" s="280">
        <v>21</v>
      </c>
      <c r="H8" s="412">
        <v>73</v>
      </c>
      <c r="I8" s="292" t="str">
        <f>IF(ISERROR(VLOOKUP(H8,Baza!A:C,2,FALSE)&amp;" "&amp;"("&amp;H8&amp;")"),"",(VLOOKUP(H8,Baza!A:C,2,FALSE)&amp;" "&amp;"("&amp;H8&amp;")"))</f>
        <v>Лука Стојчев (73)</v>
      </c>
      <c r="J8" s="292" t="str">
        <f>IF(ISERROR(VLOOKUP(H8,Baza!A:C,3,FALSE)),"",(VLOOKUP(H8,Baza!A:C,3,FALSE)))</f>
        <v>Шампион ФА</v>
      </c>
      <c r="K8" s="355">
        <f>IF(ISERROR(VLOOKUP(H8,Baza!A:D,4,FALSE)),"",(VLOOKUP(H8,Baza!A:D,4,FALSE)))</f>
        <v>0</v>
      </c>
      <c r="M8" s="276" t="e">
        <f t="shared" si="0"/>
        <v>#N/A</v>
      </c>
      <c r="N8" s="276">
        <v>42</v>
      </c>
      <c r="O8" s="280">
        <v>362</v>
      </c>
    </row>
    <row r="9" spans="2:17">
      <c r="B9" s="421"/>
      <c r="C9" s="306">
        <v>7</v>
      </c>
      <c r="D9" s="328" t="str">
        <f t="shared" si="1"/>
        <v>Филип Koстадиновски  (96)</v>
      </c>
      <c r="E9" s="329" t="str">
        <f t="shared" si="2"/>
        <v>Крива Паланка 2007</v>
      </c>
      <c r="F9" s="325">
        <v>14</v>
      </c>
      <c r="G9" s="281">
        <v>25</v>
      </c>
      <c r="H9" s="401">
        <v>36</v>
      </c>
      <c r="I9" s="292" t="str">
        <f>IF(ISERROR(VLOOKUP(H9,Baza!A:C,2,FALSE)&amp;" "&amp;"("&amp;H9&amp;")"),"",(VLOOKUP(H9,Baza!A:C,2,FALSE)&amp;" "&amp;"("&amp;H9&amp;")"))</f>
        <v>Васко Манасијески (36)</v>
      </c>
      <c r="J9" s="292" t="str">
        <f>IF(ISERROR(VLOOKUP(H9,Baza!A:C,3,FALSE)),"",(VLOOKUP(H9,Baza!A:C,3,FALSE)))</f>
        <v>Работнички</v>
      </c>
      <c r="K9" s="355">
        <f>IF(ISERROR(VLOOKUP(H9,Baza!A:D,4,FALSE)),"",(VLOOKUP(H9,Baza!A:D,4,FALSE)))</f>
        <v>0</v>
      </c>
      <c r="M9" s="276" t="e">
        <f t="shared" si="0"/>
        <v>#N/A</v>
      </c>
      <c r="N9" s="276">
        <v>14</v>
      </c>
      <c r="O9" s="280">
        <v>317</v>
      </c>
      <c r="Q9" s="373"/>
    </row>
    <row r="10" spans="2:17" ht="16.5" thickBot="1">
      <c r="B10" s="422"/>
      <c r="C10" s="307">
        <v>8</v>
      </c>
      <c r="D10" s="330" t="str">
        <f t="shared" si="1"/>
        <v/>
      </c>
      <c r="E10" s="331" t="str">
        <f t="shared" si="2"/>
        <v/>
      </c>
      <c r="F10" s="325">
        <v>38</v>
      </c>
      <c r="G10" s="280">
        <v>29</v>
      </c>
      <c r="H10" s="412">
        <v>69</v>
      </c>
      <c r="I10" s="292" t="str">
        <f>IF(ISERROR(VLOOKUP(H10,Baza!A:C,2,FALSE)&amp;" "&amp;"("&amp;H10&amp;")"),"",(VLOOKUP(H10,Baza!A:C,2,FALSE)&amp;" "&amp;"("&amp;H10&amp;")"))</f>
        <v>Сашко Богатинов (69)</v>
      </c>
      <c r="J10" s="292" t="str">
        <f>IF(ISERROR(VLOOKUP(H10,Baza!A:C,3,FALSE)),"",(VLOOKUP(H10,Baza!A:C,3,FALSE)))</f>
        <v>Шампион ФА</v>
      </c>
      <c r="K10" s="355">
        <f>IF(ISERROR(VLOOKUP(H10,Baza!A:D,4,FALSE)),"",(VLOOKUP(H10,Baza!A:D,4,FALSE)))</f>
        <v>0</v>
      </c>
      <c r="M10" s="276" t="e">
        <f t="shared" si="0"/>
        <v>#N/A</v>
      </c>
      <c r="N10" s="276">
        <v>38</v>
      </c>
      <c r="O10" s="280">
        <v>308</v>
      </c>
      <c r="Q10" s="373"/>
    </row>
    <row r="11" spans="2:17">
      <c r="B11" s="423" t="s">
        <v>64</v>
      </c>
      <c r="C11" s="308">
        <v>9</v>
      </c>
      <c r="D11" s="334" t="str">
        <f t="shared" si="1"/>
        <v>Кристијан Станојковски (10)</v>
      </c>
      <c r="E11" s="335" t="str">
        <f t="shared" si="2"/>
        <v>Крива Паланка</v>
      </c>
      <c r="F11" s="325">
        <v>5</v>
      </c>
      <c r="G11" s="281">
        <v>33</v>
      </c>
      <c r="H11" s="412">
        <v>458</v>
      </c>
      <c r="I11" s="292" t="str">
        <f>IF(ISERROR(VLOOKUP(H11,Baza!A:C,2,FALSE)&amp;" "&amp;"("&amp;H11&amp;")"),"",(VLOOKUP(H11,Baza!A:C,2,FALSE)&amp;" "&amp;"("&amp;H11&amp;")"))</f>
        <v>Антонио Стомнароски (458)</v>
      </c>
      <c r="J11" s="292" t="str">
        <f>IF(ISERROR(VLOOKUP(H11,Baza!A:C,3,FALSE)),"",(VLOOKUP(H11,Baza!A:C,3,FALSE)))</f>
        <v>Младост 96</v>
      </c>
      <c r="K11" s="355">
        <f>IF(ISERROR(VLOOKUP(H11,Baza!A:D,4,FALSE)),"",(VLOOKUP(H11,Baza!A:D,4,FALSE)))</f>
        <v>0</v>
      </c>
      <c r="M11" s="276" t="e">
        <f t="shared" si="0"/>
        <v>#N/A</v>
      </c>
      <c r="N11" s="276">
        <v>5</v>
      </c>
      <c r="O11" s="280">
        <v>288</v>
      </c>
      <c r="Q11" s="373"/>
    </row>
    <row r="12" spans="2:17">
      <c r="B12" s="421"/>
      <c r="C12" s="306">
        <v>10</v>
      </c>
      <c r="D12" s="328" t="str">
        <f t="shared" si="1"/>
        <v>Антонио Аврамски (144)</v>
      </c>
      <c r="E12" s="329" t="str">
        <f t="shared" si="2"/>
        <v>Берово 2</v>
      </c>
      <c r="F12" s="325">
        <v>24</v>
      </c>
      <c r="G12" s="281">
        <v>37</v>
      </c>
      <c r="H12" s="371">
        <v>99</v>
      </c>
      <c r="I12" s="292" t="str">
        <f>IF(ISERROR(VLOOKUP(H12,Baza!A:C,2,FALSE)&amp;" "&amp;"("&amp;H12&amp;")"),"",(VLOOKUP(H12,Baza!A:C,2,FALSE)&amp;" "&amp;"("&amp;H12&amp;")"))</f>
        <v>Петар Митков (99)</v>
      </c>
      <c r="J12" s="292" t="str">
        <f>IF(ISERROR(VLOOKUP(H12,Baza!A:C,3,FALSE)),"",(VLOOKUP(H12,Baza!A:C,3,FALSE)))</f>
        <v>Крива Паланка 2007</v>
      </c>
      <c r="K12" s="355">
        <f>IF(ISERROR(VLOOKUP(H12,Baza!A:D,4,FALSE)),"",(VLOOKUP(H12,Baza!A:D,4,FALSE)))</f>
        <v>0</v>
      </c>
      <c r="M12" s="276" t="str">
        <f t="shared" si="0"/>
        <v>Крива Паланка</v>
      </c>
      <c r="N12" s="276">
        <v>24</v>
      </c>
      <c r="O12" s="280">
        <v>199</v>
      </c>
      <c r="Q12" s="373"/>
    </row>
    <row r="13" spans="2:17">
      <c r="B13" s="421"/>
      <c r="C13" s="306">
        <v>11</v>
      </c>
      <c r="D13" s="328" t="str">
        <f t="shared" si="1"/>
        <v>Мартин Калески (122)</v>
      </c>
      <c r="E13" s="329" t="str">
        <f t="shared" si="2"/>
        <v>Струга</v>
      </c>
      <c r="F13" s="325">
        <v>54</v>
      </c>
      <c r="G13" s="280">
        <v>41</v>
      </c>
      <c r="H13" s="403">
        <v>2</v>
      </c>
      <c r="I13" s="292" t="str">
        <f>IF(ISERROR(VLOOKUP(H13,Baza!A:C,2,FALSE)&amp;" "&amp;"("&amp;H13&amp;")"),"",(VLOOKUP(H13,Baza!A:C,2,FALSE)&amp;" "&amp;"("&amp;H13&amp;")"))</f>
        <v>Христијан Јовановски  (2)</v>
      </c>
      <c r="J13" s="292" t="str">
        <f>IF(ISERROR(VLOOKUP(H13,Baza!A:C,3,FALSE)),"",(VLOOKUP(H13,Baza!A:C,3,FALSE)))</f>
        <v>Пелагонија</v>
      </c>
      <c r="K13" s="355">
        <f>IF(ISERROR(VLOOKUP(H13,Baza!A:D,4,FALSE)),"",(VLOOKUP(H13,Baza!A:D,4,FALSE)))</f>
        <v>0</v>
      </c>
      <c r="M13" s="276" t="e">
        <f t="shared" si="0"/>
        <v>#N/A</v>
      </c>
      <c r="N13" s="276">
        <v>54</v>
      </c>
      <c r="O13" s="280">
        <v>157</v>
      </c>
      <c r="Q13" s="373"/>
    </row>
    <row r="14" spans="2:17" ht="16.5" thickBot="1">
      <c r="B14" s="424"/>
      <c r="C14" s="309">
        <v>12</v>
      </c>
      <c r="D14" s="332" t="str">
        <f t="shared" si="1"/>
        <v/>
      </c>
      <c r="E14" s="333" t="str">
        <f t="shared" si="2"/>
        <v/>
      </c>
      <c r="F14" s="325">
        <v>48</v>
      </c>
      <c r="G14" s="280">
        <v>45</v>
      </c>
      <c r="H14" s="403">
        <v>54</v>
      </c>
      <c r="I14" s="292" t="str">
        <f>IF(ISERROR(VLOOKUP(H14,Baza!A:C,2,FALSE)&amp;" "&amp;"("&amp;H14&amp;")"),"",(VLOOKUP(H14,Baza!A:C,2,FALSE)&amp;" "&amp;"("&amp;H14&amp;")"))</f>
        <v>Слободан Грковски (54)</v>
      </c>
      <c r="J14" s="292" t="str">
        <f>IF(ISERROR(VLOOKUP(H14,Baza!A:C,3,FALSE)),"",(VLOOKUP(H14,Baza!A:C,3,FALSE)))</f>
        <v>Телеком НЕЦ</v>
      </c>
      <c r="K14" s="355">
        <f>IF(ISERROR(VLOOKUP(H14,Baza!A:D,4,FALSE)),"",(VLOOKUP(H14,Baza!A:D,4,FALSE)))</f>
        <v>0</v>
      </c>
      <c r="M14" s="276" t="str">
        <f t="shared" si="0"/>
        <v>Младост 96</v>
      </c>
      <c r="N14" s="276">
        <v>48</v>
      </c>
      <c r="O14" s="280">
        <v>131</v>
      </c>
      <c r="Q14" s="373"/>
    </row>
    <row r="15" spans="2:17">
      <c r="B15" s="420" t="s">
        <v>65</v>
      </c>
      <c r="C15" s="305">
        <v>13</v>
      </c>
      <c r="D15" s="326" t="str">
        <f t="shared" si="1"/>
        <v>Дамјан Стојчев (72)</v>
      </c>
      <c r="E15" s="327" t="str">
        <f t="shared" si="2"/>
        <v>Шампион ФА</v>
      </c>
      <c r="F15" s="325">
        <v>2</v>
      </c>
      <c r="G15" s="281">
        <v>49</v>
      </c>
      <c r="H15" s="412">
        <v>190</v>
      </c>
      <c r="I15" s="292" t="str">
        <f>IF(ISERROR(VLOOKUP(H15,Baza!A:C,2,FALSE)&amp;" "&amp;"("&amp;H15&amp;")"),"",(VLOOKUP(H15,Baza!A:C,2,FALSE)&amp;" "&amp;"("&amp;H15&amp;")"))</f>
        <v>Нико Доага (190)</v>
      </c>
      <c r="J15" s="292" t="str">
        <f>IF(ISERROR(VLOOKUP(H15,Baza!A:C,3,FALSE)),"",(VLOOKUP(H15,Baza!A:C,3,FALSE)))</f>
        <v>Младост</v>
      </c>
      <c r="K15" s="355">
        <f>IF(ISERROR(VLOOKUP(H15,Baza!A:D,4,FALSE)),"",(VLOOKUP(H15,Baza!A:D,4,FALSE)))</f>
        <v>0</v>
      </c>
      <c r="M15" s="276" t="e">
        <f t="shared" si="0"/>
        <v>#N/A</v>
      </c>
      <c r="N15" s="276">
        <v>2</v>
      </c>
      <c r="O15" s="280">
        <v>115</v>
      </c>
      <c r="Q15" s="373"/>
    </row>
    <row r="16" spans="2:17">
      <c r="B16" s="421"/>
      <c r="C16" s="306">
        <v>14</v>
      </c>
      <c r="D16" s="328" t="str">
        <f t="shared" si="1"/>
        <v>Кристијан Каламадевски (347)</v>
      </c>
      <c r="E16" s="329" t="str">
        <f t="shared" si="2"/>
        <v>Берово 2</v>
      </c>
      <c r="F16" s="325">
        <v>33</v>
      </c>
      <c r="G16" s="280">
        <v>53</v>
      </c>
      <c r="H16" s="403">
        <v>130</v>
      </c>
      <c r="I16" s="292" t="str">
        <f>IF(ISERROR(VLOOKUP(H16,Baza!A:C,2,FALSE)&amp;" "&amp;"("&amp;H16&amp;")"),"",(VLOOKUP(H16,Baza!A:C,2,FALSE)&amp;" "&amp;"("&amp;H16&amp;")"))</f>
        <v>Борис Секулов (130)</v>
      </c>
      <c r="J16" s="292" t="str">
        <f>IF(ISERROR(VLOOKUP(H16,Baza!A:C,3,FALSE)),"",(VLOOKUP(H16,Baza!A:C,3,FALSE)))</f>
        <v>Астраион</v>
      </c>
      <c r="K16" s="355">
        <f>IF(ISERROR(VLOOKUP(H16,Baza!A:D,4,FALSE)),"",(VLOOKUP(H16,Baza!A:D,4,FALSE)))</f>
        <v>0</v>
      </c>
      <c r="M16" s="276" t="e">
        <f t="shared" si="0"/>
        <v>#N/A</v>
      </c>
      <c r="N16" s="276">
        <v>33</v>
      </c>
      <c r="O16" s="280">
        <v>115</v>
      </c>
      <c r="Q16" s="373"/>
    </row>
    <row r="17" spans="2:17">
      <c r="B17" s="421"/>
      <c r="C17" s="306">
        <v>15</v>
      </c>
      <c r="D17" s="328" t="str">
        <f t="shared" si="1"/>
        <v>Боро Варошлија (85)</v>
      </c>
      <c r="E17" s="329" t="str">
        <f t="shared" si="2"/>
        <v>Дебар Маало</v>
      </c>
      <c r="F17" s="325">
        <v>52</v>
      </c>
      <c r="G17" s="280">
        <v>57</v>
      </c>
      <c r="H17" s="412">
        <v>127</v>
      </c>
      <c r="I17" s="292" t="str">
        <f>IF(ISERROR(VLOOKUP(H17,Baza!A:C,2,FALSE)&amp;" "&amp;"("&amp;H17&amp;")"),"",(VLOOKUP(H17,Baza!A:C,2,FALSE)&amp;" "&amp;"("&amp;H17&amp;")"))</f>
        <v>Сашо Љамов (127)</v>
      </c>
      <c r="J17" s="292" t="str">
        <f>IF(ISERROR(VLOOKUP(H17,Baza!A:C,3,FALSE)),"",(VLOOKUP(H17,Baza!A:C,3,FALSE)))</f>
        <v xml:space="preserve">Телеком НЕЦ </v>
      </c>
      <c r="K17" s="355">
        <f>IF(ISERROR(VLOOKUP(H17,Baza!A:D,4,FALSE)),"",(VLOOKUP(H17,Baza!A:D,4,FALSE)))</f>
        <v>0</v>
      </c>
      <c r="M17" s="276" t="e">
        <f t="shared" si="0"/>
        <v>#N/A</v>
      </c>
      <c r="N17" s="276">
        <v>52</v>
      </c>
      <c r="O17" s="280">
        <v>115</v>
      </c>
      <c r="Q17" s="373"/>
    </row>
    <row r="18" spans="2:17" ht="16.5" thickBot="1">
      <c r="B18" s="422"/>
      <c r="C18" s="307">
        <v>16</v>
      </c>
      <c r="D18" s="330" t="str">
        <f t="shared" si="1"/>
        <v/>
      </c>
      <c r="E18" s="331" t="str">
        <f t="shared" si="2"/>
        <v/>
      </c>
      <c r="F18" s="325">
        <v>4</v>
      </c>
      <c r="G18" s="410">
        <v>61</v>
      </c>
      <c r="H18" s="413">
        <v>178</v>
      </c>
      <c r="I18" s="409" t="str">
        <f>IF(ISERROR(VLOOKUP(H18,Baza!A:C,2,FALSE)&amp;" "&amp;"("&amp;H18&amp;")"),"",(VLOOKUP(H18,Baza!A:C,2,FALSE)&amp;" "&amp;"("&amp;H18&amp;")"))</f>
        <v>Александар Јакимовски (178)</v>
      </c>
      <c r="J18" s="409" t="str">
        <f>IF(ISERROR(VLOOKUP(H18,Baza!A:C,3,FALSE)),"",(VLOOKUP(H18,Baza!A:C,3,FALSE)))</f>
        <v>Крива Паланка</v>
      </c>
      <c r="K18" s="345">
        <f>IF(ISERROR(VLOOKUP(H18,Baza!A:D,4,FALSE)),"",(VLOOKUP(H18,Baza!A:D,4,FALSE)))</f>
        <v>0</v>
      </c>
      <c r="L18" s="406"/>
      <c r="M18" s="407" t="e">
        <f t="shared" si="0"/>
        <v>#N/A</v>
      </c>
      <c r="N18" s="407">
        <v>4</v>
      </c>
      <c r="O18" s="346">
        <v>102</v>
      </c>
      <c r="Q18" s="373"/>
    </row>
    <row r="19" spans="2:17">
      <c r="B19" s="423" t="s">
        <v>66</v>
      </c>
      <c r="C19" s="314">
        <v>17</v>
      </c>
      <c r="D19" s="334" t="str">
        <f t="shared" si="1"/>
        <v>Алeксандар Марковиќ (3)</v>
      </c>
      <c r="E19" s="335" t="str">
        <f t="shared" si="2"/>
        <v>Вардар</v>
      </c>
      <c r="F19" s="325">
        <v>55</v>
      </c>
      <c r="G19" s="289">
        <v>46</v>
      </c>
      <c r="H19" s="405">
        <v>108</v>
      </c>
      <c r="I19" s="341" t="str">
        <f>IF(ISERROR(VLOOKUP(H19,Baza!A:C,2,FALSE)&amp;" "&amp;"("&amp;H19&amp;")"),"",(VLOOKUP(H19,Baza!A:C,2,FALSE)&amp;" "&amp;"("&amp;H19&amp;")"))</f>
        <v>Даниел Главевски Зхоу  (108)</v>
      </c>
      <c r="J19" s="341" t="str">
        <f>IF(ISERROR(VLOOKUP(H19,Baza!A:C,3,FALSE)),"",(VLOOKUP(H19,Baza!A:C,3,FALSE)))</f>
        <v>Пелагонија</v>
      </c>
      <c r="K19" s="356">
        <f>IF(ISERROR(VLOOKUP(H19,Baza!A:D,4,FALSE)),"",(VLOOKUP(H19,Baza!A:D,4,FALSE)))</f>
        <v>0</v>
      </c>
      <c r="M19" s="276" t="str">
        <f t="shared" si="0"/>
        <v>Младост 96</v>
      </c>
      <c r="N19" s="276">
        <v>55</v>
      </c>
      <c r="O19" s="289">
        <v>86</v>
      </c>
      <c r="Q19" s="373"/>
    </row>
    <row r="20" spans="2:17">
      <c r="B20" s="421"/>
      <c r="C20" s="311">
        <v>18</v>
      </c>
      <c r="D20" s="328" t="str">
        <f t="shared" si="1"/>
        <v>Зоран Димитријевски (74)</v>
      </c>
      <c r="E20" s="329" t="str">
        <f t="shared" si="2"/>
        <v>Шампион ФА</v>
      </c>
      <c r="F20" s="325">
        <v>15</v>
      </c>
      <c r="G20" s="281">
        <v>34</v>
      </c>
      <c r="H20" s="412">
        <v>95</v>
      </c>
      <c r="I20" s="292" t="str">
        <f>IF(ISERROR(VLOOKUP(H20,Baza!A:C,2,FALSE)&amp;" "&amp;"("&amp;H20&amp;")"),"",(VLOOKUP(H20,Baza!A:C,2,FALSE)&amp;" "&amp;"("&amp;H20&amp;")"))</f>
        <v>Мартин Стаменковски (95)</v>
      </c>
      <c r="J20" s="292" t="str">
        <f>IF(ISERROR(VLOOKUP(H20,Baza!A:C,3,FALSE)),"",(VLOOKUP(H20,Baza!A:C,3,FALSE)))</f>
        <v>Крива Паланка 2007</v>
      </c>
      <c r="K20" s="355">
        <f>IF(ISERROR(VLOOKUP(H20,Baza!A:D,4,FALSE)),"",(VLOOKUP(H20,Baza!A:D,4,FALSE)))</f>
        <v>0</v>
      </c>
      <c r="M20" s="276" t="e">
        <f t="shared" si="0"/>
        <v>#N/A</v>
      </c>
      <c r="N20" s="276">
        <v>15</v>
      </c>
      <c r="O20" s="280">
        <v>76</v>
      </c>
    </row>
    <row r="21" spans="2:17">
      <c r="B21" s="421"/>
      <c r="C21" s="311">
        <v>19</v>
      </c>
      <c r="D21" s="328" t="str">
        <f t="shared" si="1"/>
        <v>Антун Јурковиќ (1001)</v>
      </c>
      <c r="E21" s="329" t="str">
        <f t="shared" si="2"/>
        <v>Без клуб</v>
      </c>
      <c r="F21" s="325">
        <v>7</v>
      </c>
      <c r="G21" s="281">
        <v>50</v>
      </c>
      <c r="H21" s="403">
        <v>37</v>
      </c>
      <c r="I21" s="292" t="str">
        <f>IF(ISERROR(VLOOKUP(H21,Baza!A:C,2,FALSE)&amp;" "&amp;"("&amp;H21&amp;")"),"",(VLOOKUP(H21,Baza!A:C,2,FALSE)&amp;" "&amp;"("&amp;H21&amp;")"))</f>
        <v>Христијан Јованов (37)</v>
      </c>
      <c r="J21" s="292" t="str">
        <f>IF(ISERROR(VLOOKUP(H21,Baza!A:C,3,FALSE)),"",(VLOOKUP(H21,Baza!A:C,3,FALSE)))</f>
        <v>Рисови</v>
      </c>
      <c r="K21" s="355">
        <f>IF(ISERROR(VLOOKUP(H21,Baza!A:D,4,FALSE)),"",(VLOOKUP(H21,Baza!A:D,4,FALSE)))</f>
        <v>0</v>
      </c>
      <c r="M21" s="276" t="e">
        <f t="shared" si="0"/>
        <v>#N/A</v>
      </c>
      <c r="N21" s="276">
        <v>7</v>
      </c>
      <c r="O21" s="280">
        <v>76</v>
      </c>
    </row>
    <row r="22" spans="2:17" ht="16.5" thickBot="1">
      <c r="B22" s="424"/>
      <c r="C22" s="312">
        <v>20</v>
      </c>
      <c r="D22" s="332" t="str">
        <f t="shared" si="1"/>
        <v/>
      </c>
      <c r="E22" s="333" t="str">
        <f t="shared" si="2"/>
        <v/>
      </c>
      <c r="F22" s="325">
        <v>51</v>
      </c>
      <c r="G22" s="280">
        <v>38</v>
      </c>
      <c r="H22" s="48">
        <v>126</v>
      </c>
      <c r="I22" s="292" t="str">
        <f>IF(ISERROR(VLOOKUP(H22,Baza!A:C,2,FALSE)&amp;" "&amp;"("&amp;H22&amp;")"),"",(VLOOKUP(H22,Baza!A:C,2,FALSE)&amp;" "&amp;"("&amp;H22&amp;")"))</f>
        <v>Димитрие Жоговски (126)</v>
      </c>
      <c r="J22" s="292" t="str">
        <f>IF(ISERROR(VLOOKUP(H22,Baza!A:C,3,FALSE)),"",(VLOOKUP(H22,Baza!A:C,3,FALSE)))</f>
        <v>Телеком НЕЦ 2</v>
      </c>
      <c r="K22" s="355">
        <f>IF(ISERROR(VLOOKUP(H22,Baza!A:D,4,FALSE)),"",(VLOOKUP(H22,Baza!A:D,4,FALSE)))</f>
        <v>0</v>
      </c>
      <c r="M22" s="276" t="e">
        <f t="shared" si="0"/>
        <v>#N/A</v>
      </c>
      <c r="N22" s="276">
        <v>51</v>
      </c>
      <c r="O22" s="280">
        <v>76</v>
      </c>
    </row>
    <row r="23" spans="2:17">
      <c r="B23" s="420" t="s">
        <v>67</v>
      </c>
      <c r="C23" s="310">
        <v>21</v>
      </c>
      <c r="D23" s="326" t="str">
        <f t="shared" si="1"/>
        <v>Лука Стојчев (73)</v>
      </c>
      <c r="E23" s="327" t="str">
        <f t="shared" si="2"/>
        <v>Шампион ФА</v>
      </c>
      <c r="F23" s="325">
        <v>8</v>
      </c>
      <c r="G23" s="280">
        <v>54</v>
      </c>
      <c r="H23" s="48">
        <v>52</v>
      </c>
      <c r="I23" s="292" t="str">
        <f>IF(ISERROR(VLOOKUP(H23,Baza!A:C,2,FALSE)&amp;" "&amp;"("&amp;H23&amp;")"),"",(VLOOKUP(H23,Baza!A:C,2,FALSE)&amp;" "&amp;"("&amp;H23&amp;")"))</f>
        <v>Марјан Крстев (52)</v>
      </c>
      <c r="J23" s="292" t="str">
        <f>IF(ISERROR(VLOOKUP(H23,Baza!A:C,3,FALSE)),"",(VLOOKUP(H23,Baza!A:C,3,FALSE)))</f>
        <v>Радовиш</v>
      </c>
      <c r="K23" s="355">
        <f>IF(ISERROR(VLOOKUP(H23,Baza!A:D,4,FALSE)),"",(VLOOKUP(H23,Baza!A:D,4,FALSE)))</f>
        <v>0</v>
      </c>
      <c r="M23" s="276" t="e">
        <f t="shared" si="0"/>
        <v>#N/A</v>
      </c>
      <c r="N23" s="276">
        <v>8</v>
      </c>
      <c r="O23" s="280">
        <v>68</v>
      </c>
    </row>
    <row r="24" spans="2:17">
      <c r="B24" s="421"/>
      <c r="C24" s="311">
        <v>22</v>
      </c>
      <c r="D24" s="328" t="str">
        <f t="shared" si="1"/>
        <v>Андреј Васевски (203)</v>
      </c>
      <c r="E24" s="329" t="str">
        <f t="shared" si="2"/>
        <v>Куманово</v>
      </c>
      <c r="F24" s="325">
        <v>26</v>
      </c>
      <c r="G24" s="281">
        <v>62</v>
      </c>
      <c r="H24" s="48">
        <v>365</v>
      </c>
      <c r="I24" s="292" t="str">
        <f>IF(ISERROR(VLOOKUP(H24,Baza!A:C,2,FALSE)&amp;" "&amp;"("&amp;H24&amp;")"),"",(VLOOKUP(H24,Baza!A:C,2,FALSE)&amp;" "&amp;"("&amp;H24&amp;")"))</f>
        <v>Ѓорѓе Бораниев (365)</v>
      </c>
      <c r="J24" s="292" t="str">
        <f>IF(ISERROR(VLOOKUP(H24,Baza!A:C,3,FALSE)),"",(VLOOKUP(H24,Baza!A:C,3,FALSE)))</f>
        <v>Радовиш</v>
      </c>
      <c r="K24" s="355">
        <f>IF(ISERROR(VLOOKUP(H24,Baza!A:D,4,FALSE)),"",(VLOOKUP(H24,Baza!A:D,4,FALSE)))</f>
        <v>0</v>
      </c>
      <c r="M24" s="276" t="e">
        <f t="shared" si="0"/>
        <v>#N/A</v>
      </c>
      <c r="N24" s="276">
        <v>26</v>
      </c>
      <c r="O24" s="280">
        <v>68</v>
      </c>
    </row>
    <row r="25" spans="2:17">
      <c r="B25" s="421"/>
      <c r="C25" s="311">
        <v>23</v>
      </c>
      <c r="D25" s="328" t="str">
        <f t="shared" si="1"/>
        <v>Игор Николовски (84)</v>
      </c>
      <c r="E25" s="329" t="str">
        <f t="shared" si="2"/>
        <v>Дебар Маало</v>
      </c>
      <c r="F25" s="325">
        <v>1</v>
      </c>
      <c r="G25" s="280">
        <v>58</v>
      </c>
      <c r="H25" s="401">
        <v>47</v>
      </c>
      <c r="I25" s="292" t="str">
        <f>IF(ISERROR(VLOOKUP(H25,Baza!A:C,2,FALSE)&amp;" "&amp;"("&amp;H25&amp;")"),"",(VLOOKUP(H25,Baza!A:C,2,FALSE)&amp;" "&amp;"("&amp;H25&amp;")"))</f>
        <v>Андреј Стојановски (47)</v>
      </c>
      <c r="J25" s="292" t="str">
        <f>IF(ISERROR(VLOOKUP(H25,Baza!A:C,3,FALSE)),"",(VLOOKUP(H25,Baza!A:C,3,FALSE)))</f>
        <v>Крива Паланка</v>
      </c>
      <c r="K25" s="355">
        <f>IF(ISERROR(VLOOKUP(H25,Baza!A:D,4,FALSE)),"",(VLOOKUP(H25,Baza!A:D,4,FALSE)))</f>
        <v>0</v>
      </c>
      <c r="M25" s="276" t="e">
        <f t="shared" si="0"/>
        <v>#N/A</v>
      </c>
      <c r="N25" s="276">
        <v>1</v>
      </c>
      <c r="O25" s="280">
        <v>68</v>
      </c>
    </row>
    <row r="26" spans="2:17" ht="16.5" thickBot="1">
      <c r="B26" s="422"/>
      <c r="C26" s="313">
        <v>24</v>
      </c>
      <c r="D26" s="330" t="str">
        <f t="shared" si="1"/>
        <v/>
      </c>
      <c r="E26" s="331" t="str">
        <f t="shared" si="2"/>
        <v/>
      </c>
      <c r="F26" s="325">
        <v>34</v>
      </c>
      <c r="G26" s="346">
        <v>42</v>
      </c>
      <c r="H26" s="413">
        <v>131</v>
      </c>
      <c r="I26" s="409" t="str">
        <f>IF(ISERROR(VLOOKUP(H26,Baza!A:C,2,FALSE)&amp;" "&amp;"("&amp;H26&amp;")"),"",(VLOOKUP(H26,Baza!A:C,2,FALSE)&amp;" "&amp;"("&amp;H26&amp;")"))</f>
        <v>Томе Милев (131)</v>
      </c>
      <c r="J26" s="409" t="str">
        <f>IF(ISERROR(VLOOKUP(H26,Baza!A:C,3,FALSE)),"",(VLOOKUP(H26,Baza!A:C,3,FALSE)))</f>
        <v>Астраион</v>
      </c>
      <c r="K26" s="345">
        <f>IF(ISERROR(VLOOKUP(H26,Baza!A:D,4,FALSE)),"",(VLOOKUP(H26,Baza!A:D,4,FALSE)))</f>
        <v>0</v>
      </c>
      <c r="L26" s="406"/>
      <c r="M26" s="407" t="e">
        <f t="shared" si="0"/>
        <v>#N/A</v>
      </c>
      <c r="N26" s="407">
        <v>34</v>
      </c>
      <c r="O26" s="346">
        <v>63</v>
      </c>
    </row>
    <row r="27" spans="2:17">
      <c r="B27" s="423" t="s">
        <v>68</v>
      </c>
      <c r="C27" s="314">
        <v>25</v>
      </c>
      <c r="D27" s="334" t="str">
        <f t="shared" si="1"/>
        <v>Васко Манасијески (36)</v>
      </c>
      <c r="E27" s="335" t="str">
        <f t="shared" si="2"/>
        <v>Работнички</v>
      </c>
      <c r="F27" s="325">
        <v>13</v>
      </c>
      <c r="G27" s="393">
        <v>26</v>
      </c>
      <c r="H27" s="405">
        <v>253</v>
      </c>
      <c r="I27" s="341" t="str">
        <f>IF(ISERROR(VLOOKUP(H27,Baza!A:C,2,FALSE)&amp;" "&amp;"("&amp;H27&amp;")"),"",(VLOOKUP(H27,Baza!A:C,2,FALSE)&amp;" "&amp;"("&amp;H27&amp;")"))</f>
        <v>Борче Талевски (253)</v>
      </c>
      <c r="J27" s="341" t="str">
        <f>IF(ISERROR(VLOOKUP(H27,Baza!A:C,3,FALSE)),"",(VLOOKUP(H27,Baza!A:C,3,FALSE)))</f>
        <v>Пелистер</v>
      </c>
      <c r="K27" s="356">
        <f>IF(ISERROR(VLOOKUP(H27,Baza!A:D,4,FALSE)),"",(VLOOKUP(H27,Baza!A:D,4,FALSE)))</f>
        <v>0</v>
      </c>
      <c r="M27" s="276" t="e">
        <f t="shared" si="0"/>
        <v>#N/A</v>
      </c>
      <c r="N27" s="276">
        <v>13</v>
      </c>
      <c r="O27" s="289">
        <v>55</v>
      </c>
    </row>
    <row r="28" spans="2:17">
      <c r="B28" s="421"/>
      <c r="C28" s="311">
        <v>26</v>
      </c>
      <c r="D28" s="328" t="str">
        <f t="shared" si="1"/>
        <v>Борче Талевски (253)</v>
      </c>
      <c r="E28" s="329" t="str">
        <f t="shared" si="2"/>
        <v>Пелистер</v>
      </c>
      <c r="F28" s="325">
        <v>17</v>
      </c>
      <c r="G28" s="281">
        <v>22</v>
      </c>
      <c r="H28" s="412">
        <v>203</v>
      </c>
      <c r="I28" s="292" t="str">
        <f>IF(ISERROR(VLOOKUP(H28,Baza!A:C,2,FALSE)&amp;" "&amp;"("&amp;H28&amp;")"),"",(VLOOKUP(H28,Baza!A:C,2,FALSE)&amp;" "&amp;"("&amp;H28&amp;")"))</f>
        <v>Андреј Васевски (203)</v>
      </c>
      <c r="J28" s="292" t="str">
        <f>IF(ISERROR(VLOOKUP(H28,Baza!A:C,3,FALSE)),"",(VLOOKUP(H28,Baza!A:C,3,FALSE)))</f>
        <v>Куманово</v>
      </c>
      <c r="K28" s="355">
        <f>IF(ISERROR(VLOOKUP(H28,Baza!A:D,4,FALSE)),"",(VLOOKUP(H28,Baza!A:D,4,FALSE)))</f>
        <v>0</v>
      </c>
      <c r="M28" s="276" t="e">
        <f t="shared" si="0"/>
        <v>#N/A</v>
      </c>
      <c r="N28" s="276">
        <v>17</v>
      </c>
      <c r="O28" s="280">
        <v>47</v>
      </c>
    </row>
    <row r="29" spans="2:17">
      <c r="B29" s="421"/>
      <c r="C29" s="311">
        <v>27</v>
      </c>
      <c r="D29" s="328" t="str">
        <f t="shared" si="1"/>
        <v>Александар Арсов (237)</v>
      </c>
      <c r="E29" s="329" t="str">
        <f t="shared" si="2"/>
        <v>Студент</v>
      </c>
      <c r="F29" s="325">
        <v>50</v>
      </c>
      <c r="G29" s="280">
        <v>6</v>
      </c>
      <c r="H29" s="412">
        <v>58</v>
      </c>
      <c r="I29" s="292" t="str">
        <f>IF(ISERROR(VLOOKUP(H29,Baza!A:C,2,FALSE)&amp;" "&amp;"("&amp;H29&amp;")"),"",(VLOOKUP(H29,Baza!A:C,2,FALSE)&amp;" "&amp;"("&amp;H29&amp;")"))</f>
        <v>Роберт Михајловски (58)</v>
      </c>
      <c r="J29" s="292" t="str">
        <f>IF(ISERROR(VLOOKUP(H29,Baza!A:C,3,FALSE)),"",(VLOOKUP(H29,Baza!A:C,3,FALSE)))</f>
        <v>Телеком НЕЦ 2</v>
      </c>
      <c r="K29" s="355">
        <f>IF(ISERROR(VLOOKUP(H29,Baza!A:D,4,FALSE)),"",(VLOOKUP(H29,Baza!A:D,4,FALSE)))</f>
        <v>0</v>
      </c>
      <c r="M29" s="276" t="e">
        <f t="shared" si="0"/>
        <v>#N/A</v>
      </c>
      <c r="N29" s="276">
        <v>50</v>
      </c>
      <c r="O29" s="280">
        <v>47</v>
      </c>
    </row>
    <row r="30" spans="2:17" ht="16.5" thickBot="1">
      <c r="B30" s="424"/>
      <c r="C30" s="312">
        <v>28</v>
      </c>
      <c r="D30" s="332" t="str">
        <f t="shared" si="1"/>
        <v/>
      </c>
      <c r="E30" s="333" t="str">
        <f t="shared" si="2"/>
        <v/>
      </c>
      <c r="F30" s="325">
        <v>46</v>
      </c>
      <c r="G30" s="280">
        <v>10</v>
      </c>
      <c r="H30" s="412">
        <v>144</v>
      </c>
      <c r="I30" s="292" t="str">
        <f>IF(ISERROR(VLOOKUP(H30,Baza!A:C,2,FALSE)&amp;" "&amp;"("&amp;H30&amp;")"),"",(VLOOKUP(H30,Baza!A:C,2,FALSE)&amp;" "&amp;"("&amp;H30&amp;")"))</f>
        <v>Антонио Аврамски (144)</v>
      </c>
      <c r="J30" s="292" t="str">
        <f>IF(ISERROR(VLOOKUP(H30,Baza!A:C,3,FALSE)),"",(VLOOKUP(H30,Baza!A:C,3,FALSE)))</f>
        <v>Берово 2</v>
      </c>
      <c r="K30" s="355">
        <f>IF(ISERROR(VLOOKUP(H30,Baza!A:D,4,FALSE)),"",(VLOOKUP(H30,Baza!A:D,4,FALSE)))</f>
        <v>0</v>
      </c>
      <c r="M30" s="276" t="e">
        <f t="shared" si="0"/>
        <v>#N/A</v>
      </c>
      <c r="N30" s="276">
        <v>46</v>
      </c>
      <c r="O30" s="280">
        <v>45</v>
      </c>
    </row>
    <row r="31" spans="2:17">
      <c r="B31" s="420" t="s">
        <v>69</v>
      </c>
      <c r="C31" s="310">
        <v>29</v>
      </c>
      <c r="D31" s="326" t="str">
        <f t="shared" si="1"/>
        <v>Сашко Богатинов (69)</v>
      </c>
      <c r="E31" s="327" t="str">
        <f t="shared" si="2"/>
        <v>Шампион ФА</v>
      </c>
      <c r="F31" s="325">
        <v>37</v>
      </c>
      <c r="G31" s="280">
        <v>2</v>
      </c>
      <c r="H31" s="371">
        <v>17</v>
      </c>
      <c r="I31" s="292" t="str">
        <f>IF(ISERROR(VLOOKUP(H31,Baza!A:C,2,FALSE)&amp;" "&amp;"("&amp;H31&amp;")"),"",(VLOOKUP(H31,Baza!A:C,2,FALSE)&amp;" "&amp;"("&amp;H31&amp;")"))</f>
        <v>Бобан Лашкоски (17)</v>
      </c>
      <c r="J31" s="292" t="str">
        <f>IF(ISERROR(VLOOKUP(H31,Baza!A:C,3,FALSE)),"",(VLOOKUP(H31,Baza!A:C,3,FALSE)))</f>
        <v>Младост 96</v>
      </c>
      <c r="K31" s="355">
        <f>IF(ISERROR(VLOOKUP(H31,Baza!A:D,4,FALSE)),"",(VLOOKUP(H31,Baza!A:D,4,FALSE)))</f>
        <v>0</v>
      </c>
      <c r="M31" s="276" t="e">
        <f t="shared" si="0"/>
        <v>#N/A</v>
      </c>
      <c r="N31" s="276">
        <v>37</v>
      </c>
      <c r="O31" s="280">
        <v>37</v>
      </c>
    </row>
    <row r="32" spans="2:17">
      <c r="B32" s="421"/>
      <c r="C32" s="311">
        <v>30</v>
      </c>
      <c r="D32" s="328" t="str">
        <f t="shared" si="1"/>
        <v>Горјан Никифоровски (38)</v>
      </c>
      <c r="E32" s="329" t="str">
        <f t="shared" si="2"/>
        <v>Работнички</v>
      </c>
      <c r="F32" s="325">
        <v>43</v>
      </c>
      <c r="G32" s="280">
        <v>18</v>
      </c>
      <c r="H32" s="403">
        <v>74</v>
      </c>
      <c r="I32" s="292" t="str">
        <f>IF(ISERROR(VLOOKUP(H32,Baza!A:C,2,FALSE)&amp;" "&amp;"("&amp;H32&amp;")"),"",(VLOOKUP(H32,Baza!A:C,2,FALSE)&amp;" "&amp;"("&amp;H32&amp;")"))</f>
        <v>Зоран Димитријевски (74)</v>
      </c>
      <c r="J32" s="292" t="str">
        <f>IF(ISERROR(VLOOKUP(H32,Baza!A:C,3,FALSE)),"",(VLOOKUP(H32,Baza!A:C,3,FALSE)))</f>
        <v>Шампион ФА</v>
      </c>
      <c r="K32" s="355">
        <f>IF(ISERROR(VLOOKUP(H32,Baza!A:D,4,FALSE)),"",(VLOOKUP(H32,Baza!A:D,4,FALSE)))</f>
        <v>0</v>
      </c>
      <c r="M32" s="276" t="e">
        <f t="shared" si="0"/>
        <v>#N/A</v>
      </c>
      <c r="N32" s="276">
        <v>43</v>
      </c>
      <c r="O32" s="280">
        <v>32</v>
      </c>
    </row>
    <row r="33" spans="1:16">
      <c r="B33" s="421"/>
      <c r="C33" s="311">
        <v>31</v>
      </c>
      <c r="D33" s="328" t="str">
        <f t="shared" si="1"/>
        <v>Мирослав Симиќ (55)</v>
      </c>
      <c r="E33" s="329" t="str">
        <f>IF(D33="","",INDEX($J$3:$J$70,MATCH(C33,$G$3:$G$70,0)))</f>
        <v>Телеком НЕЦ</v>
      </c>
      <c r="F33" s="325">
        <v>45</v>
      </c>
      <c r="G33" s="280">
        <v>14</v>
      </c>
      <c r="H33" s="412">
        <v>347</v>
      </c>
      <c r="I33" s="292" t="str">
        <f>IF(ISERROR(VLOOKUP(H33,Baza!A:C,2,FALSE)&amp;" "&amp;"("&amp;H33&amp;")"),"",(VLOOKUP(H33,Baza!A:C,2,FALSE)&amp;" "&amp;"("&amp;H33&amp;")"))</f>
        <v>Кристијан Каламадевски (347)</v>
      </c>
      <c r="J33" s="292" t="str">
        <f>IF(ISERROR(VLOOKUP(H33,Baza!A:C,3,FALSE)),"",(VLOOKUP(H33,Baza!A:C,3,FALSE)))</f>
        <v>Берово 2</v>
      </c>
      <c r="K33" s="355">
        <f>IF(ISERROR(VLOOKUP(H33,Baza!A:D,4,FALSE)),"",(VLOOKUP(H33,Baza!A:D,4,FALSE)))</f>
        <v>0</v>
      </c>
      <c r="M33" s="276" t="e">
        <f t="shared" si="0"/>
        <v>#N/A</v>
      </c>
      <c r="N33" s="276">
        <v>45</v>
      </c>
      <c r="O33" s="280">
        <v>24</v>
      </c>
    </row>
    <row r="34" spans="1:16" ht="16.5" thickBot="1">
      <c r="B34" s="422"/>
      <c r="C34" s="313">
        <v>32</v>
      </c>
      <c r="D34" s="330" t="str">
        <f t="shared" si="1"/>
        <v>Пеце Јованоски (121)</v>
      </c>
      <c r="E34" s="331" t="str">
        <f>IF(D34="","",INDEX($J$3:$J$60,MATCH(C34,$G$3:$G$60,0)))</f>
        <v>Вардар</v>
      </c>
      <c r="F34" s="325">
        <v>6</v>
      </c>
      <c r="G34" s="410">
        <v>30</v>
      </c>
      <c r="H34" s="408">
        <v>38</v>
      </c>
      <c r="I34" s="409" t="str">
        <f>IF(ISERROR(VLOOKUP(H34,Baza!A:C,2,FALSE)&amp;" "&amp;"("&amp;H34&amp;")"),"",(VLOOKUP(H34,Baza!A:C,2,FALSE)&amp;" "&amp;"("&amp;H34&amp;")"))</f>
        <v>Горјан Никифоровски (38)</v>
      </c>
      <c r="J34" s="409" t="str">
        <f>IF(ISERROR(VLOOKUP(H34,Baza!A:C,3,FALSE)),"",(VLOOKUP(H34,Baza!A:C,3,FALSE)))</f>
        <v>Работнички</v>
      </c>
      <c r="K34" s="345">
        <f>IF(ISERROR(VLOOKUP(H34,Baza!A:D,4,FALSE)),"",(VLOOKUP(H34,Baza!A:D,4,FALSE)))</f>
        <v>0</v>
      </c>
      <c r="L34" s="406"/>
      <c r="M34" s="407" t="e">
        <f t="shared" si="0"/>
        <v>#N/A</v>
      </c>
      <c r="N34" s="407">
        <v>6</v>
      </c>
      <c r="O34" s="346">
        <v>21</v>
      </c>
    </row>
    <row r="35" spans="1:16">
      <c r="A35" s="282"/>
      <c r="B35" s="423" t="s">
        <v>70</v>
      </c>
      <c r="C35" s="319">
        <v>33</v>
      </c>
      <c r="D35" s="334" t="str">
        <f t="shared" si="1"/>
        <v>Антонио Стомнароски (458)</v>
      </c>
      <c r="E35" s="335" t="str">
        <f t="shared" si="2"/>
        <v>Младост 96</v>
      </c>
      <c r="F35" s="325">
        <v>3</v>
      </c>
      <c r="G35" s="393">
        <v>27</v>
      </c>
      <c r="H35" s="405">
        <v>237</v>
      </c>
      <c r="I35" s="341" t="str">
        <f>IF(ISERROR(VLOOKUP(H35,Baza!A:C,2,FALSE)&amp;" "&amp;"("&amp;H35&amp;")"),"",(VLOOKUP(H35,Baza!A:C,2,FALSE)&amp;" "&amp;"("&amp;H35&amp;")"))</f>
        <v>Александар Арсов (237)</v>
      </c>
      <c r="J35" s="341" t="str">
        <f>IF(ISERROR(VLOOKUP(H35,Baza!A:C,3,FALSE)),"",(VLOOKUP(H35,Baza!A:C,3,FALSE)))</f>
        <v>Студент</v>
      </c>
      <c r="K35" s="356">
        <f>IF(ISERROR(VLOOKUP(H35,Baza!A:D,4,FALSE)),"",(VLOOKUP(H35,Baza!A:D,4,FALSE)))</f>
        <v>0</v>
      </c>
      <c r="M35" s="276" t="str">
        <f t="shared" ref="M35:M66" si="3">VLOOKUP(C35,$H$3:$J$66,3,FALSE)</f>
        <v xml:space="preserve">Младост </v>
      </c>
      <c r="N35" s="276">
        <v>3</v>
      </c>
      <c r="O35" s="289">
        <v>18</v>
      </c>
    </row>
    <row r="36" spans="1:16">
      <c r="B36" s="421"/>
      <c r="C36" s="316">
        <v>34</v>
      </c>
      <c r="D36" s="328" t="str">
        <f t="shared" si="1"/>
        <v>Мартин Стаменковски (95)</v>
      </c>
      <c r="E36" s="329" t="str">
        <f t="shared" si="2"/>
        <v>Крива Паланка 2007</v>
      </c>
      <c r="F36" s="325">
        <v>18</v>
      </c>
      <c r="G36" s="281">
        <v>15</v>
      </c>
      <c r="H36" s="412">
        <v>85</v>
      </c>
      <c r="I36" s="292" t="str">
        <f>IF(ISERROR(VLOOKUP(H36,Baza!A:C,2,FALSE)&amp;" "&amp;"("&amp;H36&amp;")"),"",(VLOOKUP(H36,Baza!A:C,2,FALSE)&amp;" "&amp;"("&amp;H36&amp;")"))</f>
        <v>Боро Варошлија (85)</v>
      </c>
      <c r="J36" s="292" t="str">
        <f>IF(ISERROR(VLOOKUP(H36,Baza!A:C,3,FALSE)),"",(VLOOKUP(H36,Baza!A:C,3,FALSE)))</f>
        <v>Дебар Маало</v>
      </c>
      <c r="K36" s="355">
        <f>IF(ISERROR(VLOOKUP(H36,Baza!A:D,4,FALSE)),"",(VLOOKUP(H36,Baza!A:D,4,FALSE)))</f>
        <v>0</v>
      </c>
      <c r="M36" s="276" t="e">
        <f t="shared" si="3"/>
        <v>#N/A</v>
      </c>
      <c r="N36" s="276">
        <v>18</v>
      </c>
      <c r="O36" s="280">
        <v>16</v>
      </c>
    </row>
    <row r="37" spans="1:16">
      <c r="B37" s="421"/>
      <c r="C37" s="316">
        <v>35</v>
      </c>
      <c r="D37" s="328" t="str">
        <f t="shared" si="1"/>
        <v>Ѓоко Јочкоски  (33)</v>
      </c>
      <c r="E37" s="329" t="str">
        <f>IF(D37="","",INDEX($J$3:$J$70,MATCH(C37,$G$3:$G$70,0)))</f>
        <v xml:space="preserve">Младост </v>
      </c>
      <c r="F37" s="325">
        <v>28</v>
      </c>
      <c r="G37" s="281">
        <v>7</v>
      </c>
      <c r="H37" s="403">
        <v>96</v>
      </c>
      <c r="I37" s="292" t="str">
        <f>IF(ISERROR(VLOOKUP(H37,Baza!A:C,2,FALSE)&amp;" "&amp;"("&amp;H37&amp;")"),"",(VLOOKUP(H37,Baza!A:C,2,FALSE)&amp;" "&amp;"("&amp;H37&amp;")"))</f>
        <v>Филип Koстадиновски  (96)</v>
      </c>
      <c r="J37" s="292" t="str">
        <f>IF(ISERROR(VLOOKUP(H37,Baza!A:C,3,FALSE)),"",(VLOOKUP(H37,Baza!A:C,3,FALSE)))</f>
        <v>Крива Паланка 2007</v>
      </c>
      <c r="K37" s="355">
        <f>IF(ISERROR(VLOOKUP(H37,Baza!A:D,4,FALSE)),"",(VLOOKUP(H37,Baza!A:D,4,FALSE)))</f>
        <v>0</v>
      </c>
      <c r="M37" s="276" t="e">
        <f t="shared" si="3"/>
        <v>#N/A</v>
      </c>
      <c r="N37" s="276">
        <v>28</v>
      </c>
      <c r="O37" s="280">
        <v>11</v>
      </c>
    </row>
    <row r="38" spans="1:16" ht="16.5" thickBot="1">
      <c r="B38" s="424"/>
      <c r="C38" s="317">
        <v>36</v>
      </c>
      <c r="D38" s="332" t="str">
        <f t="shared" si="1"/>
        <v>Ристо Темелков (57)</v>
      </c>
      <c r="E38" s="333" t="str">
        <f>IF(D38="","",INDEX($J$3:$J$60,MATCH(C38,$G$3:$G$60,0)))</f>
        <v>Вардар</v>
      </c>
      <c r="F38" s="325">
        <v>29</v>
      </c>
      <c r="G38" s="281">
        <v>11</v>
      </c>
      <c r="H38" s="412">
        <v>122</v>
      </c>
      <c r="I38" s="292" t="str">
        <f>IF(ISERROR(VLOOKUP(H38,Baza!A:C,2,FALSE)&amp;" "&amp;"("&amp;H38&amp;")"),"",(VLOOKUP(H38,Baza!A:C,2,FALSE)&amp;" "&amp;"("&amp;H38&amp;")"))</f>
        <v>Мартин Калески (122)</v>
      </c>
      <c r="J38" s="292" t="str">
        <f>IF(ISERROR(VLOOKUP(H38,Baza!A:C,3,FALSE)),"",(VLOOKUP(H38,Baza!A:C,3,FALSE)))</f>
        <v>Струга</v>
      </c>
      <c r="K38" s="355">
        <f>IF(ISERROR(VLOOKUP(H38,Baza!A:D,4,FALSE)),"",(VLOOKUP(H38,Baza!A:D,4,FALSE)))</f>
        <v>0</v>
      </c>
      <c r="M38" s="276" t="str">
        <f t="shared" si="3"/>
        <v>Работнички</v>
      </c>
      <c r="N38" s="276">
        <v>29</v>
      </c>
      <c r="O38" s="280">
        <v>8</v>
      </c>
    </row>
    <row r="39" spans="1:16">
      <c r="B39" s="420" t="s">
        <v>71</v>
      </c>
      <c r="C39" s="315">
        <v>37</v>
      </c>
      <c r="D39" s="326" t="str">
        <f t="shared" si="1"/>
        <v>Петар Митков (99)</v>
      </c>
      <c r="E39" s="327" t="str">
        <f t="shared" si="2"/>
        <v>Крива Паланка 2007</v>
      </c>
      <c r="F39" s="325">
        <v>36</v>
      </c>
      <c r="G39" s="280">
        <v>19</v>
      </c>
      <c r="H39" s="371">
        <v>1001</v>
      </c>
      <c r="I39" s="292" t="str">
        <f>IF(ISERROR(VLOOKUP(H39,Baza!A:C,2,FALSE)&amp;" "&amp;"("&amp;H39&amp;")"),"",(VLOOKUP(H39,Baza!A:C,2,FALSE)&amp;" "&amp;"("&amp;H39&amp;")"))</f>
        <v>Антун Јурковиќ (1001)</v>
      </c>
      <c r="J39" s="292" t="str">
        <f>IF(ISERROR(VLOOKUP(H39,Baza!A:C,3,FALSE)),"",(VLOOKUP(H39,Baza!A:C,3,FALSE)))</f>
        <v>Без клуб</v>
      </c>
      <c r="K39" s="355">
        <f>IF(ISERROR(VLOOKUP(H39,Baza!A:D,4,FALSE)),"",(VLOOKUP(H39,Baza!A:D,4,FALSE)))</f>
        <v>0</v>
      </c>
      <c r="M39" s="276" t="str">
        <f t="shared" si="3"/>
        <v>Рисови</v>
      </c>
      <c r="N39" s="276">
        <v>36</v>
      </c>
      <c r="O39" s="280">
        <v>8</v>
      </c>
    </row>
    <row r="40" spans="1:16">
      <c r="B40" s="421"/>
      <c r="C40" s="316">
        <v>38</v>
      </c>
      <c r="D40" s="328" t="str">
        <f t="shared" si="1"/>
        <v>Димитрие Жоговски (126)</v>
      </c>
      <c r="E40" s="329" t="str">
        <f t="shared" si="2"/>
        <v>Телеком НЕЦ 2</v>
      </c>
      <c r="F40" s="325">
        <v>12</v>
      </c>
      <c r="G40" s="281">
        <v>23</v>
      </c>
      <c r="H40" s="412">
        <v>84</v>
      </c>
      <c r="I40" s="292" t="str">
        <f>IF(ISERROR(VLOOKUP(H40,Baza!A:C,2,FALSE)&amp;" "&amp;"("&amp;H40&amp;")"),"",(VLOOKUP(H40,Baza!A:C,2,FALSE)&amp;" "&amp;"("&amp;H40&amp;")"))</f>
        <v>Игор Николовски (84)</v>
      </c>
      <c r="J40" s="292" t="str">
        <f>IF(ISERROR(VLOOKUP(H40,Baza!A:C,3,FALSE)),"",(VLOOKUP(H40,Baza!A:C,3,FALSE)))</f>
        <v>Дебар Маало</v>
      </c>
      <c r="K40" s="355">
        <f>IF(ISERROR(VLOOKUP(H40,Baza!A:D,4,FALSE)),"",(VLOOKUP(H40,Baza!A:D,4,FALSE)))</f>
        <v>0</v>
      </c>
      <c r="M40" s="276" t="str">
        <f t="shared" si="3"/>
        <v>Работнички</v>
      </c>
      <c r="N40" s="276">
        <v>12</v>
      </c>
      <c r="O40" s="280">
        <v>5</v>
      </c>
    </row>
    <row r="41" spans="1:16">
      <c r="B41" s="421"/>
      <c r="C41" s="316">
        <v>39</v>
      </c>
      <c r="D41" s="328" t="str">
        <f t="shared" si="1"/>
        <v>Венко Стојанов (49)</v>
      </c>
      <c r="E41" s="329" t="str">
        <f>IF(D41="","",INDEX($J$3:$J$70,MATCH(C41,$G$3:$G$70,0)))</f>
        <v>Радовиш</v>
      </c>
      <c r="F41" s="325">
        <v>19</v>
      </c>
      <c r="G41" s="281">
        <v>51</v>
      </c>
      <c r="H41" s="404">
        <v>330</v>
      </c>
      <c r="I41" s="292" t="str">
        <f>IF(ISERROR(VLOOKUP(H41,Baza!A:C,2,FALSE)&amp;" "&amp;"("&amp;H41&amp;")"),"",(VLOOKUP(H41,Baza!A:C,2,FALSE)&amp;" "&amp;"("&amp;H41&amp;")"))</f>
        <v>Јован Коминивски (330)</v>
      </c>
      <c r="J41" s="292" t="str">
        <f>IF(ISERROR(VLOOKUP(H41,Baza!A:C,3,FALSE)),"",(VLOOKUP(H41,Baza!A:C,3,FALSE)))</f>
        <v>Пелистер</v>
      </c>
      <c r="K41" s="355">
        <f>IF(ISERROR(VLOOKUP(H41,Baza!A:D,4,FALSE)),"",(VLOOKUP(H41,Baza!A:D,4,FALSE)))</f>
        <v>0</v>
      </c>
      <c r="M41" s="276" t="e">
        <f t="shared" si="3"/>
        <v>#N/A</v>
      </c>
      <c r="N41" s="276">
        <v>19</v>
      </c>
      <c r="O41" s="280">
        <v>5</v>
      </c>
      <c r="P41" s="276">
        <v>2</v>
      </c>
    </row>
    <row r="42" spans="1:16" ht="16.5" thickBot="1">
      <c r="B42" s="422"/>
      <c r="C42" s="318">
        <v>40</v>
      </c>
      <c r="D42" s="330" t="str">
        <f t="shared" si="1"/>
        <v>Игор Саздов (62)</v>
      </c>
      <c r="E42" s="331" t="str">
        <f>IF(D42="","",INDEX($J$3:$J$70,MATCH(C42,$G$3:$G$70,0)))</f>
        <v>Берово 1</v>
      </c>
      <c r="F42" s="325">
        <v>25</v>
      </c>
      <c r="G42" s="410">
        <v>3</v>
      </c>
      <c r="H42" s="403">
        <v>331</v>
      </c>
      <c r="I42" s="292" t="str">
        <f>IF(ISERROR(VLOOKUP(H42,Baza!A:C,2,FALSE)&amp;" "&amp;"("&amp;H42&amp;")"),"",(VLOOKUP(H42,Baza!A:C,2,FALSE)&amp;" "&amp;"("&amp;H42&amp;")"))</f>
        <v>Даниел Ѓокановски (331)</v>
      </c>
      <c r="J42" s="292" t="str">
        <f>IF(ISERROR(VLOOKUP(H42,Baza!A:C,3,FALSE)),"",(VLOOKUP(H42,Baza!A:C,3,FALSE)))</f>
        <v>Пелистер</v>
      </c>
      <c r="K42" s="355">
        <f>IF(ISERROR(VLOOKUP(H42,Baza!A:D,4,FALSE)),"",(VLOOKUP(H42,Baza!A:D,4,FALSE)))</f>
        <v>0</v>
      </c>
      <c r="M42" s="276" t="e">
        <f t="shared" si="3"/>
        <v>#N/A</v>
      </c>
      <c r="N42" s="276">
        <v>25</v>
      </c>
      <c r="O42" s="280">
        <v>5</v>
      </c>
    </row>
    <row r="43" spans="1:16">
      <c r="B43" s="423" t="s">
        <v>72</v>
      </c>
      <c r="C43" s="319">
        <v>41</v>
      </c>
      <c r="D43" s="334" t="str">
        <f t="shared" si="1"/>
        <v>Христијан Јовановски  (2)</v>
      </c>
      <c r="E43" s="335" t="str">
        <f t="shared" si="2"/>
        <v>Пелагонија</v>
      </c>
      <c r="F43" s="325">
        <v>49</v>
      </c>
      <c r="G43" s="289">
        <v>31</v>
      </c>
      <c r="H43" s="403">
        <v>55</v>
      </c>
      <c r="I43" s="292" t="str">
        <f>IF(ISERROR(VLOOKUP(H43,Baza!A:C,2,FALSE)&amp;" "&amp;"("&amp;H43&amp;")"),"",(VLOOKUP(H43,Baza!A:C,2,FALSE)&amp;" "&amp;"("&amp;H43&amp;")"))</f>
        <v>Мирослав Симиќ (55)</v>
      </c>
      <c r="J43" s="292" t="str">
        <f>IF(ISERROR(VLOOKUP(H43,Baza!A:C,3,FALSE)),"",(VLOOKUP(H43,Baza!A:C,3,FALSE)))</f>
        <v>Телеком НЕЦ</v>
      </c>
      <c r="K43" s="355">
        <f>IF(ISERROR(VLOOKUP(H43,Baza!A:D,4,FALSE)),"",(VLOOKUP(H43,Baza!A:D,4,FALSE)))</f>
        <v>0</v>
      </c>
      <c r="M43" s="276" t="e">
        <f t="shared" si="3"/>
        <v>#N/A</v>
      </c>
      <c r="N43" s="276">
        <v>49</v>
      </c>
      <c r="O43" s="280">
        <v>5</v>
      </c>
    </row>
    <row r="44" spans="1:16">
      <c r="B44" s="421"/>
      <c r="C44" s="316">
        <v>42</v>
      </c>
      <c r="D44" s="328" t="str">
        <f t="shared" si="1"/>
        <v>Томе Милев (131)</v>
      </c>
      <c r="E44" s="329" t="str">
        <f t="shared" si="2"/>
        <v>Астраион</v>
      </c>
      <c r="F44" s="325">
        <v>11</v>
      </c>
      <c r="G44" s="281">
        <v>47</v>
      </c>
      <c r="H44" s="403">
        <v>236</v>
      </c>
      <c r="I44" s="292" t="str">
        <f>IF(ISERROR(VLOOKUP(H44,Baza!A:C,2,FALSE)&amp;" "&amp;"("&amp;H44&amp;")"),"",(VLOOKUP(H44,Baza!A:C,2,FALSE)&amp;" "&amp;"("&amp;H44&amp;")"))</f>
        <v>Драган Шкоф (236)</v>
      </c>
      <c r="J44" s="292" t="str">
        <f>IF(ISERROR(VLOOKUP(H44,Baza!A:C,3,FALSE)),"",(VLOOKUP(H44,Baza!A:C,3,FALSE)))</f>
        <v>Студент</v>
      </c>
      <c r="K44" s="355">
        <f>IF(ISERROR(VLOOKUP(H44,Baza!A:D,4,FALSE)),"",(VLOOKUP(H44,Baza!A:D,4,FALSE)))</f>
        <v>0</v>
      </c>
      <c r="M44" s="276" t="e">
        <f t="shared" si="3"/>
        <v>#N/A</v>
      </c>
      <c r="N44" s="276">
        <v>11</v>
      </c>
      <c r="O44" s="280">
        <v>0</v>
      </c>
    </row>
    <row r="45" spans="1:16">
      <c r="B45" s="421"/>
      <c r="C45" s="316">
        <v>43</v>
      </c>
      <c r="D45" s="328" t="str">
        <f t="shared" si="1"/>
        <v>Горазд Ристовски (238)</v>
      </c>
      <c r="E45" s="329" t="str">
        <f>IF(D45="","",INDEX($J$3:$J$70,MATCH(C45,$G$3:$G$70,0)))</f>
        <v>Студент</v>
      </c>
      <c r="F45" s="325">
        <v>20</v>
      </c>
      <c r="G45" s="281">
        <v>55</v>
      </c>
      <c r="H45" s="403">
        <v>278</v>
      </c>
      <c r="I45" s="292" t="str">
        <f>IF(ISERROR(VLOOKUP(H45,Baza!A:C,2,FALSE)&amp;" "&amp;"("&amp;H45&amp;")"),"",(VLOOKUP(H45,Baza!A:C,2,FALSE)&amp;" "&amp;"("&amp;H45&amp;")"))</f>
        <v>Славчо Спасеноски  (278)</v>
      </c>
      <c r="J45" s="292" t="str">
        <f>IF(ISERROR(VLOOKUP(H45,Baza!A:C,3,FALSE)),"",(VLOOKUP(H45,Baza!A:C,3,FALSE)))</f>
        <v>Студент</v>
      </c>
      <c r="K45" s="355">
        <f>IF(ISERROR(VLOOKUP(H45,Baza!A:D,4,FALSE)),"",(VLOOKUP(H45,Baza!A:D,4,FALSE)))</f>
        <v>0</v>
      </c>
      <c r="M45" s="276" t="e">
        <f t="shared" si="3"/>
        <v>#N/A</v>
      </c>
      <c r="N45" s="276">
        <v>20</v>
      </c>
      <c r="O45" s="280">
        <v>0</v>
      </c>
    </row>
    <row r="46" spans="1:16" ht="16.5" thickBot="1">
      <c r="B46" s="424"/>
      <c r="C46" s="317">
        <v>44</v>
      </c>
      <c r="D46" s="332" t="str">
        <f t="shared" si="1"/>
        <v>Игор Маневски (200)</v>
      </c>
      <c r="E46" s="333" t="str">
        <f>IF(D46="","",INDEX($J$3:$J$70,MATCH(C46,$G$3:$G$70,0)))</f>
        <v>Куманово</v>
      </c>
      <c r="F46" s="325">
        <v>23</v>
      </c>
      <c r="G46" s="281">
        <v>39</v>
      </c>
      <c r="H46" s="411">
        <v>49</v>
      </c>
      <c r="I46" s="292" t="str">
        <f>IF(ISERROR(VLOOKUP(H46,Baza!A:C,2,FALSE)&amp;" "&amp;"("&amp;H46&amp;")"),"",(VLOOKUP(H46,Baza!A:C,2,FALSE)&amp;" "&amp;"("&amp;H46&amp;")"))</f>
        <v>Венко Стојанов (49)</v>
      </c>
      <c r="J46" s="292" t="str">
        <f>IF(ISERROR(VLOOKUP(H46,Baza!A:C,3,FALSE)),"",(VLOOKUP(H46,Baza!A:C,3,FALSE)))</f>
        <v>Радовиш</v>
      </c>
      <c r="K46" s="355">
        <f>IF(ISERROR(VLOOKUP(H46,Baza!A:D,4,FALSE)),"",(VLOOKUP(H46,Baza!A:D,4,FALSE)))</f>
        <v>0</v>
      </c>
      <c r="M46" s="276" t="e">
        <f t="shared" si="3"/>
        <v>#N/A</v>
      </c>
      <c r="N46" s="276">
        <v>23</v>
      </c>
      <c r="O46" s="280">
        <v>0</v>
      </c>
    </row>
    <row r="47" spans="1:16">
      <c r="B47" s="420" t="s">
        <v>73</v>
      </c>
      <c r="C47" s="315">
        <v>45</v>
      </c>
      <c r="D47" s="326" t="str">
        <f t="shared" si="1"/>
        <v>Слободан Грковски (54)</v>
      </c>
      <c r="E47" s="327" t="str">
        <f t="shared" si="2"/>
        <v>Телеком НЕЦ</v>
      </c>
      <c r="F47" s="325">
        <v>16</v>
      </c>
      <c r="G47" s="281">
        <v>59</v>
      </c>
      <c r="H47" s="401">
        <v>50</v>
      </c>
      <c r="I47" s="292" t="str">
        <f>IF(ISERROR(VLOOKUP(H47,Baza!A:C,2,FALSE)&amp;" "&amp;"("&amp;H47&amp;")"),"",(VLOOKUP(H47,Baza!A:C,2,FALSE)&amp;" "&amp;"("&amp;H47&amp;")"))</f>
        <v>Милчо Чачаров (50)</v>
      </c>
      <c r="J47" s="292" t="str">
        <f>IF(ISERROR(VLOOKUP(H47,Baza!A:C,3,FALSE)),"",(VLOOKUP(H47,Baza!A:C,3,FALSE)))</f>
        <v>Хепи</v>
      </c>
      <c r="K47" s="355">
        <f>IF(ISERROR(VLOOKUP(H47,Baza!A:D,4,FALSE)),"",(VLOOKUP(H47,Baza!A:D,4,FALSE)))</f>
        <v>0</v>
      </c>
      <c r="M47" s="276" t="e">
        <f t="shared" si="3"/>
        <v>#N/A</v>
      </c>
      <c r="N47" s="276">
        <v>16</v>
      </c>
      <c r="O47" s="280">
        <v>0</v>
      </c>
    </row>
    <row r="48" spans="1:16">
      <c r="B48" s="421"/>
      <c r="C48" s="316">
        <v>46</v>
      </c>
      <c r="D48" s="328" t="str">
        <f t="shared" si="1"/>
        <v>Даниел Главевски Зхоу  (108)</v>
      </c>
      <c r="E48" s="329" t="str">
        <f t="shared" si="2"/>
        <v>Пелагонија</v>
      </c>
      <c r="F48" s="325">
        <v>27</v>
      </c>
      <c r="G48" s="281">
        <v>35</v>
      </c>
      <c r="H48" s="411">
        <v>33</v>
      </c>
      <c r="I48" s="292" t="str">
        <f>IF(ISERROR(VLOOKUP(H48,Baza!A:C,2,FALSE)&amp;" "&amp;"("&amp;H48&amp;")"),"",(VLOOKUP(H48,Baza!A:C,2,FALSE)&amp;" "&amp;"("&amp;H48&amp;")"))</f>
        <v>Ѓоко Јочкоски  (33)</v>
      </c>
      <c r="J48" s="292" t="str">
        <f>IF(ISERROR(VLOOKUP(H48,Baza!A:C,3,FALSE)),"",(VLOOKUP(H48,Baza!A:C,3,FALSE)))</f>
        <v xml:space="preserve">Младост </v>
      </c>
      <c r="K48" s="355">
        <f>IF(ISERROR(VLOOKUP(H48,Baza!A:D,4,FALSE)),"",(VLOOKUP(H48,Baza!A:D,4,FALSE)))</f>
        <v>0</v>
      </c>
      <c r="M48" s="276" t="e">
        <f t="shared" si="3"/>
        <v>#N/A</v>
      </c>
      <c r="N48" s="276">
        <v>27</v>
      </c>
      <c r="O48" s="280">
        <v>0</v>
      </c>
    </row>
    <row r="49" spans="2:15">
      <c r="B49" s="421"/>
      <c r="C49" s="316">
        <v>47</v>
      </c>
      <c r="D49" s="328" t="str">
        <f t="shared" si="1"/>
        <v>Драган Шкоф (236)</v>
      </c>
      <c r="E49" s="329" t="str">
        <f>IF(D49="","",INDEX($J$3:$J$70,MATCH(C49,$G$3:$G$70,0)))</f>
        <v>Студент</v>
      </c>
      <c r="F49" s="325">
        <v>21</v>
      </c>
      <c r="G49" s="281">
        <v>43</v>
      </c>
      <c r="H49" s="412">
        <v>238</v>
      </c>
      <c r="I49" s="292" t="str">
        <f>IF(ISERROR(VLOOKUP(H49,Baza!A:C,2,FALSE)&amp;" "&amp;"("&amp;H49&amp;")"),"",(VLOOKUP(H49,Baza!A:C,2,FALSE)&amp;" "&amp;"("&amp;H49&amp;")"))</f>
        <v>Горазд Ристовски (238)</v>
      </c>
      <c r="J49" s="292" t="str">
        <f>IF(ISERROR(VLOOKUP(H49,Baza!A:C,3,FALSE)),"",(VLOOKUP(H49,Baza!A:C,3,FALSE)))</f>
        <v>Студент</v>
      </c>
      <c r="K49" s="355">
        <f>IF(ISERROR(VLOOKUP(H49,Baza!A:D,4,FALSE)),"",(VLOOKUP(H49,Baza!A:D,4,FALSE)))</f>
        <v>0</v>
      </c>
      <c r="M49" s="276" t="str">
        <f t="shared" si="3"/>
        <v>Крива Паланка</v>
      </c>
      <c r="N49" s="276">
        <v>21</v>
      </c>
      <c r="O49" s="280">
        <v>0</v>
      </c>
    </row>
    <row r="50" spans="2:15" ht="16.5" thickBot="1">
      <c r="B50" s="422"/>
      <c r="C50" s="318">
        <v>48</v>
      </c>
      <c r="D50" s="330" t="str">
        <f t="shared" si="1"/>
        <v>Сашко Тодосиев (89)</v>
      </c>
      <c r="E50" s="331" t="str">
        <f>IF(D50="","",INDEX($J$3:$J$70,MATCH(C50,$G$3:$G$70,0)))</f>
        <v>Кочани</v>
      </c>
      <c r="F50" s="325">
        <v>32</v>
      </c>
      <c r="G50" s="410">
        <v>63</v>
      </c>
      <c r="H50" s="411">
        <v>5</v>
      </c>
      <c r="I50" s="292" t="str">
        <f>IF(ISERROR(VLOOKUP(H50,Baza!A:C,2,FALSE)&amp;" "&amp;"("&amp;H50&amp;")"),"",(VLOOKUP(H50,Baza!A:C,2,FALSE)&amp;" "&amp;"("&amp;H50&amp;")"))</f>
        <v>Теодор Кировски  (5)</v>
      </c>
      <c r="J50" s="292" t="str">
        <f>IF(ISERROR(VLOOKUP(H50,Baza!A:C,3,FALSE)),"",(VLOOKUP(H50,Baza!A:C,3,FALSE)))</f>
        <v xml:space="preserve">10 60 Ѓорче Петров </v>
      </c>
      <c r="K50" s="355">
        <f>IF(ISERROR(VLOOKUP(H50,Baza!A:D,4,FALSE)),"",(VLOOKUP(H50,Baza!A:D,4,FALSE)))</f>
        <v>0</v>
      </c>
      <c r="M50" s="276" t="e">
        <f t="shared" si="3"/>
        <v>#N/A</v>
      </c>
      <c r="N50" s="276">
        <v>32</v>
      </c>
      <c r="O50" s="280">
        <v>0</v>
      </c>
    </row>
    <row r="51" spans="2:15">
      <c r="B51" s="423" t="s">
        <v>74</v>
      </c>
      <c r="C51" s="323">
        <v>49</v>
      </c>
      <c r="D51" s="334" t="str">
        <f t="shared" si="1"/>
        <v>Нико Доага (190)</v>
      </c>
      <c r="E51" s="335" t="str">
        <f t="shared" si="2"/>
        <v>Младост</v>
      </c>
      <c r="F51" s="325">
        <v>22</v>
      </c>
      <c r="G51" s="393">
        <v>44</v>
      </c>
      <c r="H51" s="411">
        <v>200</v>
      </c>
      <c r="I51" s="292" t="str">
        <f>IF(ISERROR(VLOOKUP(H51,Baza!A:C,2,FALSE)&amp;" "&amp;"("&amp;H51&amp;")"),"",(VLOOKUP(H51,Baza!A:C,2,FALSE)&amp;" "&amp;"("&amp;H51&amp;")"))</f>
        <v>Игор Маневски (200)</v>
      </c>
      <c r="J51" s="292" t="str">
        <f>IF(ISERROR(VLOOKUP(H51,Baza!A:C,3,FALSE)),"",(VLOOKUP(H51,Baza!A:C,3,FALSE)))</f>
        <v>Куманово</v>
      </c>
      <c r="K51" s="355">
        <f>IF(ISERROR(VLOOKUP(H51,Baza!A:D,4,FALSE)),"",(VLOOKUP(H51,Baza!A:D,4,FALSE)))</f>
        <v>0</v>
      </c>
      <c r="M51" s="276" t="str">
        <f t="shared" si="3"/>
        <v>Радовиш</v>
      </c>
      <c r="N51" s="276">
        <v>22</v>
      </c>
      <c r="O51" s="280">
        <v>0</v>
      </c>
    </row>
    <row r="52" spans="2:15">
      <c r="B52" s="421"/>
      <c r="C52" s="321">
        <v>50</v>
      </c>
      <c r="D52" s="328" t="str">
        <f t="shared" si="1"/>
        <v>Христијан Јованов (37)</v>
      </c>
      <c r="E52" s="329" t="str">
        <f t="shared" si="2"/>
        <v>Рисови</v>
      </c>
      <c r="F52" s="325">
        <v>31</v>
      </c>
      <c r="G52" s="281">
        <v>60</v>
      </c>
      <c r="H52" s="411">
        <v>310</v>
      </c>
      <c r="I52" s="292" t="str">
        <f>IF(ISERROR(VLOOKUP(H52,Baza!A:C,2,FALSE)&amp;" "&amp;"("&amp;H52&amp;")"),"",(VLOOKUP(H52,Baza!A:C,2,FALSE)&amp;" "&amp;"("&amp;H52&amp;")"))</f>
        <v>Вецко Соколовски (310)</v>
      </c>
      <c r="J52" s="292" t="str">
        <f>IF(ISERROR(VLOOKUP(H52,Baza!A:C,3,FALSE)),"",(VLOOKUP(H52,Baza!A:C,3,FALSE)))</f>
        <v>Крушево</v>
      </c>
      <c r="K52" s="355">
        <f>IF(ISERROR(VLOOKUP(H52,Baza!A:D,4,FALSE)),"",(VLOOKUP(H52,Baza!A:D,4,FALSE)))</f>
        <v>0</v>
      </c>
      <c r="M52" s="276" t="str">
        <f t="shared" si="3"/>
        <v>Хепи</v>
      </c>
      <c r="N52" s="276">
        <v>31</v>
      </c>
      <c r="O52" s="280">
        <v>0</v>
      </c>
    </row>
    <row r="53" spans="2:15">
      <c r="B53" s="421"/>
      <c r="C53" s="321">
        <v>51</v>
      </c>
      <c r="D53" s="328" t="str">
        <f t="shared" si="1"/>
        <v>Јован Коминивски (330)</v>
      </c>
      <c r="E53" s="329" t="str">
        <f t="shared" si="2"/>
        <v>Пелистер</v>
      </c>
      <c r="F53" s="325">
        <v>35</v>
      </c>
      <c r="G53" s="280">
        <v>64</v>
      </c>
      <c r="H53" s="411">
        <v>138</v>
      </c>
      <c r="I53" s="292" t="str">
        <f>IF(ISERROR(VLOOKUP(H53,Baza!A:C,2,FALSE)&amp;" "&amp;"("&amp;H53&amp;")"),"",(VLOOKUP(H53,Baza!A:C,2,FALSE)&amp;" "&amp;"("&amp;H53&amp;")"))</f>
        <v>Славе Југовски (138)</v>
      </c>
      <c r="J53" s="292" t="str">
        <f>IF(ISERROR(VLOOKUP(H53,Baza!A:C,3,FALSE)),"",(VLOOKUP(H53,Baza!A:C,3,FALSE)))</f>
        <v>Астраион</v>
      </c>
      <c r="K53" s="355">
        <f>IF(ISERROR(VLOOKUP(H53,Baza!A:D,4,FALSE)),"",(VLOOKUP(H53,Baza!A:D,4,FALSE)))</f>
        <v>0</v>
      </c>
      <c r="M53" s="276" t="e">
        <f t="shared" si="3"/>
        <v>#N/A</v>
      </c>
      <c r="N53" s="276">
        <v>35</v>
      </c>
      <c r="O53" s="280">
        <v>0</v>
      </c>
    </row>
    <row r="54" spans="2:15" ht="16.5" thickBot="1">
      <c r="B54" s="424"/>
      <c r="C54" s="324">
        <v>52</v>
      </c>
      <c r="D54" s="332" t="str">
        <f t="shared" si="1"/>
        <v>Александар Кралев (71)</v>
      </c>
      <c r="E54" s="333" t="str">
        <f>IF(D54="","",INDEX($J$3:$J$70,MATCH(C54,$G$3:$G$70,0)))</f>
        <v>Шампион ФА</v>
      </c>
      <c r="F54" s="325">
        <v>40</v>
      </c>
      <c r="G54" s="280">
        <v>52</v>
      </c>
      <c r="H54" s="411">
        <v>71</v>
      </c>
      <c r="I54" s="292" t="str">
        <f>IF(ISERROR(VLOOKUP(H54,Baza!A:C,2,FALSE)&amp;" "&amp;"("&amp;H54&amp;")"),"",(VLOOKUP(H54,Baza!A:C,2,FALSE)&amp;" "&amp;"("&amp;H54&amp;")"))</f>
        <v>Александар Кралев (71)</v>
      </c>
      <c r="J54" s="292" t="str">
        <f>IF(ISERROR(VLOOKUP(H54,Baza!A:C,3,FALSE)),"",(VLOOKUP(H54,Baza!A:C,3,FALSE)))</f>
        <v>Шампион ФА</v>
      </c>
      <c r="K54" s="355">
        <f>IF(ISERROR(VLOOKUP(H54,Baza!A:D,4,FALSE)),"",(VLOOKUP(H54,Baza!A:D,4,FALSE)))</f>
        <v>0</v>
      </c>
      <c r="M54" s="276" t="str">
        <f t="shared" si="3"/>
        <v>Радовиш</v>
      </c>
      <c r="N54" s="276">
        <v>40</v>
      </c>
      <c r="O54" s="280">
        <v>0</v>
      </c>
    </row>
    <row r="55" spans="2:15">
      <c r="B55" s="420" t="s">
        <v>75</v>
      </c>
      <c r="C55" s="320">
        <v>53</v>
      </c>
      <c r="D55" s="326" t="str">
        <f t="shared" si="1"/>
        <v>Борис Секулов (130)</v>
      </c>
      <c r="E55" s="327" t="str">
        <f t="shared" si="2"/>
        <v>Астраион</v>
      </c>
      <c r="F55" s="325">
        <v>44</v>
      </c>
      <c r="G55" s="280">
        <v>56</v>
      </c>
      <c r="H55" s="412">
        <v>404</v>
      </c>
      <c r="I55" s="292" t="str">
        <f>IF(ISERROR(VLOOKUP(H55,Baza!A:C,2,FALSE)&amp;" "&amp;"("&amp;H55&amp;")"),"",(VLOOKUP(H55,Baza!A:C,2,FALSE)&amp;" "&amp;"("&amp;H55&amp;")"))</f>
        <v>Љупчо Треновски (404)</v>
      </c>
      <c r="J55" s="292" t="str">
        <f>IF(ISERROR(VLOOKUP(H55,Baza!A:C,3,FALSE)),"",(VLOOKUP(H55,Baza!A:C,3,FALSE)))</f>
        <v>Берово 2</v>
      </c>
      <c r="K55" s="355">
        <f>IF(ISERROR(VLOOKUP(H55,Baza!A:D,4,FALSE)),"",(VLOOKUP(H55,Baza!A:D,4,FALSE)))</f>
        <v>0</v>
      </c>
      <c r="M55" s="276" t="e">
        <f t="shared" si="3"/>
        <v>#N/A</v>
      </c>
      <c r="N55" s="276">
        <v>44</v>
      </c>
      <c r="O55" s="280">
        <v>0</v>
      </c>
    </row>
    <row r="56" spans="2:15">
      <c r="B56" s="421"/>
      <c r="C56" s="321">
        <v>54</v>
      </c>
      <c r="D56" s="328" t="str">
        <f t="shared" si="1"/>
        <v>Марјан Крстев (52)</v>
      </c>
      <c r="E56" s="329" t="str">
        <f t="shared" si="2"/>
        <v>Радовиш</v>
      </c>
      <c r="F56" s="325">
        <v>47</v>
      </c>
      <c r="G56" s="280">
        <v>40</v>
      </c>
      <c r="H56" s="371">
        <v>62</v>
      </c>
      <c r="I56" s="292" t="str">
        <f>IF(ISERROR(VLOOKUP(H56,Baza!A:C,2,FALSE)&amp;" "&amp;"("&amp;H56&amp;")"),"",(VLOOKUP(H56,Baza!A:C,2,FALSE)&amp;" "&amp;"("&amp;H56&amp;")"))</f>
        <v>Игор Саздов (62)</v>
      </c>
      <c r="J56" s="292" t="str">
        <f>IF(ISERROR(VLOOKUP(H56,Baza!A:C,3,FALSE)),"",(VLOOKUP(H56,Baza!A:C,3,FALSE)))</f>
        <v>Берово 1</v>
      </c>
      <c r="K56" s="355">
        <f>IF(ISERROR(VLOOKUP(H56,Baza!A:D,4,FALSE)),"",(VLOOKUP(H56,Baza!A:D,4,FALSE)))</f>
        <v>0</v>
      </c>
      <c r="M56" s="276" t="str">
        <f t="shared" si="3"/>
        <v>Телеком НЕЦ</v>
      </c>
      <c r="N56" s="276">
        <v>47</v>
      </c>
      <c r="O56" s="280">
        <v>0</v>
      </c>
    </row>
    <row r="57" spans="2:15">
      <c r="B57" s="421"/>
      <c r="C57" s="321">
        <v>55</v>
      </c>
      <c r="D57" s="328" t="str">
        <f t="shared" si="1"/>
        <v>Славчо Спасеноски  (278)</v>
      </c>
      <c r="E57" s="329" t="str">
        <f>IF(D57="","",INDEX($J$3:$J$70,MATCH(C57,$G$3:$G$70,0)))</f>
        <v>Студент</v>
      </c>
      <c r="F57" s="325">
        <v>53</v>
      </c>
      <c r="G57" s="280">
        <v>48</v>
      </c>
      <c r="H57" s="371">
        <v>89</v>
      </c>
      <c r="I57" s="292" t="str">
        <f>IF(ISERROR(VLOOKUP(H57,Baza!A:C,2,FALSE)&amp;" "&amp;"("&amp;H57&amp;")"),"",(VLOOKUP(H57,Baza!A:C,2,FALSE)&amp;" "&amp;"("&amp;H57&amp;")"))</f>
        <v>Сашко Тодосиев (89)</v>
      </c>
      <c r="J57" s="292" t="str">
        <f>IF(ISERROR(VLOOKUP(H57,Baza!A:C,3,FALSE)),"",(VLOOKUP(H57,Baza!A:C,3,FALSE)))</f>
        <v>Кочани</v>
      </c>
      <c r="K57" s="355">
        <f>IF(ISERROR(VLOOKUP(H57,Baza!A:D,4,FALSE)),"",(VLOOKUP(H57,Baza!A:D,4,FALSE)))</f>
        <v>0</v>
      </c>
      <c r="M57" s="276" t="str">
        <f t="shared" si="3"/>
        <v>Телеком НЕЦ</v>
      </c>
      <c r="N57" s="276">
        <v>53</v>
      </c>
      <c r="O57" s="280">
        <v>0</v>
      </c>
    </row>
    <row r="58" spans="2:15" ht="16.5" thickBot="1">
      <c r="B58" s="422"/>
      <c r="C58" s="322">
        <v>56</v>
      </c>
      <c r="D58" s="330" t="str">
        <f t="shared" si="1"/>
        <v>Љупчо Треновски (404)</v>
      </c>
      <c r="E58" s="331" t="str">
        <f>IF(D58="","",INDEX($J$3:$J$70,MATCH(C58,$G$3:$G$70,0)))</f>
        <v>Берово 2</v>
      </c>
      <c r="F58" s="325">
        <v>56</v>
      </c>
      <c r="G58" s="280">
        <v>32</v>
      </c>
      <c r="H58" s="371">
        <v>121</v>
      </c>
      <c r="I58" s="292" t="str">
        <f>IF(ISERROR(VLOOKUP(H58,Baza!A:C,2,FALSE)&amp;" "&amp;"("&amp;H58&amp;")"),"",(VLOOKUP(H58,Baza!A:C,2,FALSE)&amp;" "&amp;"("&amp;H58&amp;")"))</f>
        <v>Пеце Јованоски (121)</v>
      </c>
      <c r="J58" s="292" t="str">
        <f>IF(ISERROR(VLOOKUP(H58,Baza!A:C,3,FALSE)),"",(VLOOKUP(H58,Baza!A:C,3,FALSE)))</f>
        <v>Вардар</v>
      </c>
      <c r="K58" s="355">
        <f>IF(ISERROR(VLOOKUP(H58,Baza!A:D,4,FALSE)),"",(VLOOKUP(H58,Baza!A:D,4,FALSE)))</f>
        <v>0</v>
      </c>
      <c r="M58" s="276" t="e">
        <f t="shared" si="3"/>
        <v>#N/A</v>
      </c>
      <c r="N58" s="276">
        <v>56</v>
      </c>
      <c r="O58" s="280">
        <v>0</v>
      </c>
    </row>
    <row r="59" spans="2:15">
      <c r="B59" s="423" t="s">
        <v>76</v>
      </c>
      <c r="C59" s="323">
        <v>57</v>
      </c>
      <c r="D59" s="334" t="str">
        <f t="shared" si="1"/>
        <v>Сашо Љамов (127)</v>
      </c>
      <c r="E59" s="335" t="str">
        <f t="shared" si="2"/>
        <v xml:space="preserve">Телеком НЕЦ </v>
      </c>
      <c r="F59" s="325">
        <v>57</v>
      </c>
      <c r="G59" s="280">
        <v>36</v>
      </c>
      <c r="H59" s="371">
        <v>57</v>
      </c>
      <c r="I59" s="292" t="str">
        <f>IF(ISERROR(VLOOKUP(H59,Baza!A:C,2,FALSE)&amp;" "&amp;"("&amp;H59&amp;")"),"",(VLOOKUP(H59,Baza!A:C,2,FALSE)&amp;" "&amp;"("&amp;H59&amp;")"))</f>
        <v>Ристо Темелков (57)</v>
      </c>
      <c r="J59" s="292" t="str">
        <f>IF(ISERROR(VLOOKUP(H59,Baza!A:C,3,FALSE)),"",(VLOOKUP(H59,Baza!A:C,3,FALSE)))</f>
        <v>Вардар</v>
      </c>
      <c r="K59" s="355">
        <f>IF(ISERROR(VLOOKUP(H59,Baza!A:D,4,FALSE)),"",(VLOOKUP(H59,Baza!A:D,4,FALSE)))</f>
        <v>0</v>
      </c>
      <c r="M59" s="276" t="str">
        <f t="shared" si="3"/>
        <v>Вардар</v>
      </c>
      <c r="N59" s="276">
        <v>57</v>
      </c>
      <c r="O59" s="280">
        <v>0</v>
      </c>
    </row>
    <row r="60" spans="2:15">
      <c r="B60" s="421"/>
      <c r="C60" s="321">
        <v>58</v>
      </c>
      <c r="D60" s="328" t="str">
        <f t="shared" si="1"/>
        <v>Андреј Стојановски (47)</v>
      </c>
      <c r="E60" s="329" t="str">
        <f t="shared" si="2"/>
        <v>Крива Паланка</v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str">
        <f t="shared" si="3"/>
        <v>Телеком НЕЦ 2</v>
      </c>
      <c r="N60" s="276">
        <v>58</v>
      </c>
      <c r="O60" s="280"/>
    </row>
    <row r="61" spans="2:15">
      <c r="B61" s="421"/>
      <c r="C61" s="321">
        <v>59</v>
      </c>
      <c r="D61" s="328" t="str">
        <f t="shared" si="1"/>
        <v>Милчо Чачаров (50)</v>
      </c>
      <c r="E61" s="329" t="str">
        <f>IF(D61="","",INDEX($J$3:$J$70,MATCH(C61,$G$3:$G$70,0)))</f>
        <v>Хепи</v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24"/>
      <c r="C62" s="324">
        <v>60</v>
      </c>
      <c r="D62" s="332" t="str">
        <f t="shared" si="1"/>
        <v>Вецко Соколовски (310)</v>
      </c>
      <c r="E62" s="333" t="str">
        <f>IF(D62="","",INDEX($J$3:$J$70,MATCH(C62,$G$3:$G$70,0)))</f>
        <v>Крушево</v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20" t="s">
        <v>77</v>
      </c>
      <c r="C63" s="320">
        <v>61</v>
      </c>
      <c r="D63" s="326" t="str">
        <f t="shared" si="1"/>
        <v>Александар Јакимовски (178)</v>
      </c>
      <c r="E63" s="327" t="str">
        <f t="shared" si="2"/>
        <v>Крива Паланка</v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21"/>
      <c r="C64" s="321">
        <v>62</v>
      </c>
      <c r="D64" s="328" t="str">
        <f t="shared" si="1"/>
        <v>Ѓорѓе Бораниев (365)</v>
      </c>
      <c r="E64" s="329" t="str">
        <f t="shared" si="2"/>
        <v>Радовиш</v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str">
        <f t="shared" si="3"/>
        <v>Берово 1</v>
      </c>
      <c r="N64" s="276">
        <v>62</v>
      </c>
      <c r="O64" s="280"/>
    </row>
    <row r="65" spans="2:15">
      <c r="B65" s="421"/>
      <c r="C65" s="321">
        <v>63</v>
      </c>
      <c r="D65" s="328" t="str">
        <f t="shared" si="1"/>
        <v>Теодор Кировски  (5)</v>
      </c>
      <c r="E65" s="329" t="str">
        <f>IF(D65="","",INDEX($J$3:$J$70,MATCH(C65,$G$3:$G$70,0)))</f>
        <v xml:space="preserve">10 60 Ѓорче Петров </v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22"/>
      <c r="C66" s="322">
        <v>64</v>
      </c>
      <c r="D66" s="330" t="str">
        <f t="shared" si="1"/>
        <v>Славе Југовски (138)</v>
      </c>
      <c r="E66" s="331" t="str">
        <f>IF(D66="","",INDEX($J$3:$J$70,MATCH(C66,$G$3:$G$70,0)))</f>
        <v>Астраион</v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20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21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21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22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20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21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21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22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20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21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21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22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20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21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21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22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20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21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21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22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20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21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21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22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20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21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21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22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20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21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21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22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33"/>
  <sheetViews>
    <sheetView showGridLines="0" workbookViewId="0">
      <selection activeCell="O22" sqref="O22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2" t="s">
        <v>816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Филип Младеновски (70)</v>
      </c>
      <c r="E4" s="35">
        <f>C4+4</f>
        <v>5</v>
      </c>
      <c r="F4" s="36" t="str">
        <f>IF(VLOOKUP(E4,PARTICIPANTS!$C$3:$D$98,2,FALSE)="","",(VLOOKUP(E4,PARTICIPANTS!$C$3:$D$98,2,FALSE)))</f>
        <v>Петар Костовски (12)</v>
      </c>
      <c r="G4" s="35">
        <f>E4+4</f>
        <v>9</v>
      </c>
      <c r="H4" s="36" t="str">
        <f>IF(VLOOKUP(G4,PARTICIPANTS!$C$3:$D$98,2,FALSE)="","",(VLOOKUP(G4,PARTICIPANTS!$C$3:$D$98,2,FALSE)))</f>
        <v>Кристијан Станојковски (10)</v>
      </c>
      <c r="I4" s="35">
        <f>G4+4</f>
        <v>13</v>
      </c>
      <c r="J4" s="36" t="str">
        <f>IF(VLOOKUP(I4,PARTICIPANTS!$C$3:$D$98,2,FALSE)="","",(VLOOKUP(I4,PARTICIPANTS!$C$3:$D$98,2,FALSE)))</f>
        <v>Дамјан Стојчев (72)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Бобан Лашкоски (17)</v>
      </c>
      <c r="E5" s="35">
        <f t="shared" ref="E5:I7" si="0">C5+4</f>
        <v>6</v>
      </c>
      <c r="F5" s="36" t="str">
        <f>IF(VLOOKUP(E5,PARTICIPANTS!$C$3:$D$98,2,FALSE)="","",(VLOOKUP(E5,PARTICIPANTS!$C$3:$D$98,2,FALSE)))</f>
        <v>Роберт Михајловски (58)</v>
      </c>
      <c r="G5" s="35">
        <f t="shared" si="0"/>
        <v>10</v>
      </c>
      <c r="H5" s="36" t="str">
        <f>IF(VLOOKUP(G5,PARTICIPANTS!$C$3:$D$98,2,FALSE)="","",(VLOOKUP(G5,PARTICIPANTS!$C$3:$D$98,2,FALSE)))</f>
        <v>Антонио Аврамски (144)</v>
      </c>
      <c r="I5" s="35">
        <f t="shared" si="0"/>
        <v>14</v>
      </c>
      <c r="J5" s="36" t="str">
        <f>IF(VLOOKUP(I5,PARTICIPANTS!$C$3:$D$98,2,FALSE)="","",(VLOOKUP(I5,PARTICIPANTS!$C$3:$D$98,2,FALSE)))</f>
        <v>Кристијан Каламадевски (347)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Даниел Ѓокановски (331)</v>
      </c>
      <c r="E6" s="35">
        <f t="shared" si="0"/>
        <v>7</v>
      </c>
      <c r="F6" s="36" t="str">
        <f>IF(VLOOKUP(E6,PARTICIPANTS!$C$3:$D$98,2,FALSE)="","",(VLOOKUP(E6,PARTICIPANTS!$C$3:$D$98,2,FALSE)))</f>
        <v>Филип Koстадиновски  (96)</v>
      </c>
      <c r="G6" s="35">
        <f t="shared" si="0"/>
        <v>11</v>
      </c>
      <c r="H6" s="36" t="str">
        <f>IF(VLOOKUP(G6,PARTICIPANTS!$C$3:$D$98,2,FALSE)="","",(VLOOKUP(G6,PARTICIPANTS!$C$3:$D$98,2,FALSE)))</f>
        <v>Мартин Калески (122)</v>
      </c>
      <c r="I6" s="35">
        <f t="shared" si="0"/>
        <v>15</v>
      </c>
      <c r="J6" s="36" t="str">
        <f>IF(VLOOKUP(I6,PARTICIPANTS!$C$3:$D$98,2,FALSE)="","",(VLOOKUP(I6,PARTICIPANTS!$C$3:$D$98,2,FALSE)))</f>
        <v>Боро Варошлија (85)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>Алeксандар Марковиќ (3)</v>
      </c>
      <c r="E9" s="35">
        <f>C9+4</f>
        <v>21</v>
      </c>
      <c r="F9" s="36" t="str">
        <f>IF(VLOOKUP(E9,PARTICIPANTS!$C$3:$D$98,2,FALSE)="","",(VLOOKUP(E9,PARTICIPANTS!$C$3:$D$98,2,FALSE)))</f>
        <v>Лука Стојчев (73)</v>
      </c>
      <c r="G9" s="35">
        <f>E9+4</f>
        <v>25</v>
      </c>
      <c r="H9" s="36" t="str">
        <f>IF(VLOOKUP(G9,PARTICIPANTS!$C$3:$D$98,2,FALSE)="","",(VLOOKUP(G9,PARTICIPANTS!$C$3:$D$98,2,FALSE)))</f>
        <v>Васко Манасијески (36)</v>
      </c>
      <c r="I9" s="35">
        <f>G9+4</f>
        <v>29</v>
      </c>
      <c r="J9" s="36" t="str">
        <f>IF(VLOOKUP(I9,PARTICIPANTS!$C$3:$D$98,2,FALSE)="","",(VLOOKUP(I9,PARTICIPANTS!$C$3:$D$98,2,FALSE)))</f>
        <v>Сашко Богатинов (69)</v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>Зоран Димитријевски (74)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>Андреј Васевски (203)</v>
      </c>
      <c r="G10" s="35">
        <f t="shared" si="1"/>
        <v>26</v>
      </c>
      <c r="H10" s="36" t="str">
        <f>IF(VLOOKUP(G10,PARTICIPANTS!$C$3:$D$98,2,FALSE)="","",(VLOOKUP(G10,PARTICIPANTS!$C$3:$D$98,2,FALSE)))</f>
        <v>Борче Талевски (253)</v>
      </c>
      <c r="I10" s="35">
        <f t="shared" si="1"/>
        <v>30</v>
      </c>
      <c r="J10" s="36" t="str">
        <f>IF(VLOOKUP(I10,PARTICIPANTS!$C$3:$D$98,2,FALSE)="","",(VLOOKUP(I10,PARTICIPANTS!$C$3:$D$98,2,FALSE)))</f>
        <v>Горјан Никифоровски (38)</v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>Антун Јурковиќ (1001)</v>
      </c>
      <c r="E11" s="35">
        <f t="shared" si="1"/>
        <v>23</v>
      </c>
      <c r="F11" s="36" t="str">
        <f>IF(VLOOKUP(E11,PARTICIPANTS!$C$3:$D$98,2,FALSE)="","",(VLOOKUP(E11,PARTICIPANTS!$C$3:$D$98,2,FALSE)))</f>
        <v>Игор Николовски (84)</v>
      </c>
      <c r="G11" s="35">
        <f t="shared" si="1"/>
        <v>27</v>
      </c>
      <c r="H11" s="36" t="str">
        <f>IF(VLOOKUP(G11,PARTICIPANTS!$C$3:$D$98,2,FALSE)="","",(VLOOKUP(G11,PARTICIPANTS!$C$3:$D$98,2,FALSE)))</f>
        <v>Александар Арсов (237)</v>
      </c>
      <c r="I11" s="35">
        <f t="shared" si="1"/>
        <v>31</v>
      </c>
      <c r="J11" s="36" t="str">
        <f>IF(VLOOKUP(I11,PARTICIPANTS!$C$3:$D$98,2,FALSE)="","",(VLOOKUP(I11,PARTICIPANTS!$C$3:$D$98,2,FALSE)))</f>
        <v>Мирослав Симиќ (55)</v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>Пеце Јованоски (121)</v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>Антонио Стомнароски (458)</v>
      </c>
      <c r="E14" s="35">
        <f>C14+4</f>
        <v>37</v>
      </c>
      <c r="F14" s="36" t="str">
        <f>IF(VLOOKUP(E14,PARTICIPANTS!$C$3:$D$98,2,FALSE)="","",(VLOOKUP(E14,PARTICIPANTS!$C$3:$D$98,2,FALSE)))</f>
        <v>Петар Митков (99)</v>
      </c>
      <c r="G14" s="35">
        <f>E14+4</f>
        <v>41</v>
      </c>
      <c r="H14" s="36" t="str">
        <f>IF(VLOOKUP(G14,PARTICIPANTS!$C$3:$D$98,2,FALSE)="","",(VLOOKUP(G14,PARTICIPANTS!$C$3:$D$98,2,FALSE)))</f>
        <v>Христијан Јовановски  (2)</v>
      </c>
      <c r="I14" s="35">
        <f>G14+4</f>
        <v>45</v>
      </c>
      <c r="J14" s="36" t="str">
        <f>IF(VLOOKUP(I14,PARTICIPANTS!$C$3:$D$98,2,FALSE)="","",(VLOOKUP(I14,PARTICIPANTS!$C$3:$D$98,2,FALSE)))</f>
        <v>Слободан Грковски (54)</v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>Мартин Стаменковски (95)</v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>Димитрие Жоговски (126)</v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>Томе Милев (131)</v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>Даниел Главевски Зхоу  (108)</v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>Ѓоко Јочкоски  (33)</v>
      </c>
      <c r="E16" s="35">
        <f t="shared" si="2"/>
        <v>39</v>
      </c>
      <c r="F16" s="36" t="str">
        <f>IF(VLOOKUP(E16,PARTICIPANTS!$C$3:$D$98,2,FALSE)="","",(VLOOKUP(E16,PARTICIPANTS!$C$3:$D$98,2,FALSE)))</f>
        <v>Венко Стојанов (49)</v>
      </c>
      <c r="G16" s="35">
        <f t="shared" si="3"/>
        <v>43</v>
      </c>
      <c r="H16" s="36" t="str">
        <f>IF(VLOOKUP(G16,PARTICIPANTS!$C$3:$D$98,2,FALSE)="","",(VLOOKUP(G16,PARTICIPANTS!$C$3:$D$98,2,FALSE)))</f>
        <v>Горазд Ристовски (238)</v>
      </c>
      <c r="I16" s="35">
        <f t="shared" si="4"/>
        <v>47</v>
      </c>
      <c r="J16" s="36" t="str">
        <f>IF(VLOOKUP(I16,PARTICIPANTS!$C$3:$D$98,2,FALSE)="","",(VLOOKUP(I16,PARTICIPANTS!$C$3:$D$98,2,FALSE)))</f>
        <v>Драган Шкоф (236)</v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>Ристо Темелков (57)</v>
      </c>
      <c r="E17" s="35">
        <f t="shared" si="2"/>
        <v>40</v>
      </c>
      <c r="F17" s="36" t="str">
        <f>IF(VLOOKUP(E17,PARTICIPANTS!$C$3:$D$98,2,FALSE)="","",(VLOOKUP(E17,PARTICIPANTS!$C$3:$D$98,2,FALSE)))</f>
        <v>Игор Саздов (62)</v>
      </c>
      <c r="G17" s="35">
        <f t="shared" si="3"/>
        <v>44</v>
      </c>
      <c r="H17" s="36" t="str">
        <f>IF(VLOOKUP(G17,PARTICIPANTS!$C$3:$D$98,2,FALSE)="","",(VLOOKUP(G17,PARTICIPANTS!$C$3:$D$98,2,FALSE)))</f>
        <v>Игор Маневски (200)</v>
      </c>
      <c r="I17" s="35">
        <f t="shared" si="4"/>
        <v>48</v>
      </c>
      <c r="J17" s="36" t="str">
        <f>IF(VLOOKUP(I17,PARTICIPANTS!$C$3:$D$98,2,FALSE)="","",(VLOOKUP(I17,PARTICIPANTS!$C$3:$D$98,2,FALSE)))</f>
        <v>Сашко Тодосиев (89)</v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>Нико Доага (190)</v>
      </c>
      <c r="E19" s="35">
        <f>C19+4</f>
        <v>53</v>
      </c>
      <c r="F19" s="36" t="str">
        <f>IF(VLOOKUP(E19,PARTICIPANTS!$C$3:$D$98,2,FALSE)="","",(VLOOKUP(E19,PARTICIPANTS!$C$3:$D$98,2,FALSE)))</f>
        <v>Борис Секулов (130)</v>
      </c>
      <c r="G19" s="35">
        <f>E19+4</f>
        <v>57</v>
      </c>
      <c r="H19" s="36" t="str">
        <f>IF(VLOOKUP(G19,PARTICIPANTS!$C$3:$D$98,2,FALSE)="","",(VLOOKUP(G19,PARTICIPANTS!$C$3:$D$98,2,FALSE)))</f>
        <v>Сашо Љамов (127)</v>
      </c>
      <c r="I19" s="35">
        <f>G19+4</f>
        <v>61</v>
      </c>
      <c r="J19" s="36" t="str">
        <f>IF(VLOOKUP(I19,PARTICIPANTS!$C$3:$D$98,2,FALSE)="","",(VLOOKUP(I19,PARTICIPANTS!$C$3:$D$98,2,FALSE)))</f>
        <v>Александар Јакимовски (178)</v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>Христијан Јованов (37)</v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>Марјан Крстев (52)</v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>Андреј Стојановски (47)</v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>Ѓорѓе Бораниев (365)</v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>Јован Коминивски (330)</v>
      </c>
      <c r="E21" s="35">
        <f t="shared" si="5"/>
        <v>55</v>
      </c>
      <c r="F21" s="36" t="str">
        <f>IF(VLOOKUP(E21,PARTICIPANTS!$C$3:$D$98,2,FALSE)="","",(VLOOKUP(E21,PARTICIPANTS!$C$3:$D$98,2,FALSE)))</f>
        <v>Славчо Спасеноски  (278)</v>
      </c>
      <c r="G21" s="35">
        <f t="shared" si="6"/>
        <v>59</v>
      </c>
      <c r="H21" s="36" t="str">
        <f>IF(VLOOKUP(G21,PARTICIPANTS!$C$3:$D$98,2,FALSE)="","",(VLOOKUP(G21,PARTICIPANTS!$C$3:$D$98,2,FALSE)))</f>
        <v>Милчо Чачаров (50)</v>
      </c>
      <c r="I21" s="35">
        <f t="shared" si="7"/>
        <v>63</v>
      </c>
      <c r="J21" s="36" t="str">
        <f>IF(VLOOKUP(I21,PARTICIPANTS!$C$3:$D$98,2,FALSE)="","",(VLOOKUP(I21,PARTICIPANTS!$C$3:$D$98,2,FALSE)))</f>
        <v>Теодор Кировски  (5)</v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>Александар Кралев (71)</v>
      </c>
      <c r="E22" s="35">
        <f t="shared" si="5"/>
        <v>56</v>
      </c>
      <c r="F22" s="36" t="str">
        <f>IF(VLOOKUP(E22,PARTICIPANTS!$C$3:$D$98,2,FALSE)="","",(VLOOKUP(E22,PARTICIPANTS!$C$3:$D$98,2,FALSE)))</f>
        <v>Љупчо Треновски (404)</v>
      </c>
      <c r="G22" s="35">
        <f t="shared" si="6"/>
        <v>60</v>
      </c>
      <c r="H22" s="36" t="str">
        <f>IF(VLOOKUP(G22,PARTICIPANTS!$C$3:$D$98,2,FALSE)="","",(VLOOKUP(G22,PARTICIPANTS!$C$3:$D$98,2,FALSE)))</f>
        <v>Вецко Соколовски (310)</v>
      </c>
      <c r="I22" s="35">
        <f t="shared" si="7"/>
        <v>64</v>
      </c>
      <c r="J22" s="36" t="str">
        <f>IF(VLOOKUP(I22,PARTICIPANTS!$C$3:$D$98,2,FALSE)="","",(VLOOKUP(I22,PARTICIPANTS!$C$3:$D$98,2,FALSE)))</f>
        <v>Славе Југовски (138)</v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7"/>
  <sheetViews>
    <sheetView workbookViewId="0">
      <selection activeCell="A2" sqref="A2:C607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712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641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.7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712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713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713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4" t="s">
        <v>196</v>
      </c>
      <c r="C69" s="395" t="s">
        <v>197</v>
      </c>
    </row>
    <row r="70" spans="1:3">
      <c r="A70" s="261">
        <v>70</v>
      </c>
      <c r="B70" s="394" t="s">
        <v>198</v>
      </c>
      <c r="C70" s="395" t="s">
        <v>197</v>
      </c>
    </row>
    <row r="71" spans="1:3">
      <c r="A71" s="261">
        <v>71</v>
      </c>
      <c r="B71" s="394" t="s">
        <v>199</v>
      </c>
      <c r="C71" s="395" t="s">
        <v>197</v>
      </c>
    </row>
    <row r="72" spans="1:3">
      <c r="A72" s="261">
        <v>72</v>
      </c>
      <c r="B72" s="394" t="s">
        <v>200</v>
      </c>
      <c r="C72" s="395" t="s">
        <v>197</v>
      </c>
    </row>
    <row r="73" spans="1:3">
      <c r="A73" s="261">
        <v>73</v>
      </c>
      <c r="B73" s="394" t="s">
        <v>201</v>
      </c>
      <c r="C73" s="395" t="s">
        <v>197</v>
      </c>
    </row>
    <row r="74" spans="1:3">
      <c r="A74" s="261">
        <v>74</v>
      </c>
      <c r="B74" s="394" t="s">
        <v>202</v>
      </c>
      <c r="C74" s="395" t="s">
        <v>197</v>
      </c>
    </row>
    <row r="75" spans="1:3">
      <c r="A75" s="261">
        <v>75</v>
      </c>
      <c r="B75" s="394" t="s">
        <v>203</v>
      </c>
      <c r="C75" s="395" t="s">
        <v>197</v>
      </c>
    </row>
    <row r="76" spans="1:3">
      <c r="A76" s="261">
        <v>76</v>
      </c>
      <c r="B76" s="267" t="s">
        <v>204</v>
      </c>
      <c r="C76" s="395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713</v>
      </c>
    </row>
    <row r="139" spans="1:3">
      <c r="A139" s="261">
        <v>140</v>
      </c>
      <c r="B139" s="379" t="s">
        <v>275</v>
      </c>
      <c r="C139" s="101" t="s">
        <v>713</v>
      </c>
    </row>
    <row r="140" spans="1:3">
      <c r="A140" s="261">
        <v>141</v>
      </c>
      <c r="B140" s="379" t="s">
        <v>276</v>
      </c>
      <c r="C140" s="101" t="s">
        <v>713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714</v>
      </c>
    </row>
    <row r="143" spans="1:3">
      <c r="A143" s="261">
        <v>144</v>
      </c>
      <c r="B143" s="379" t="s">
        <v>279</v>
      </c>
      <c r="C143" s="101" t="s">
        <v>715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715</v>
      </c>
    </row>
    <row r="148" spans="1:3">
      <c r="A148" s="261">
        <v>149</v>
      </c>
      <c r="B148" s="379" t="s">
        <v>284</v>
      </c>
      <c r="C148" s="101" t="s">
        <v>713</v>
      </c>
    </row>
    <row r="149" spans="1:3">
      <c r="A149" s="261">
        <v>150</v>
      </c>
      <c r="B149" s="379" t="s">
        <v>285</v>
      </c>
      <c r="C149" s="101" t="s">
        <v>713</v>
      </c>
    </row>
    <row r="150" spans="1:3">
      <c r="A150" s="265">
        <v>151</v>
      </c>
      <c r="B150" s="396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715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75">
      <c r="A160" s="261">
        <v>161</v>
      </c>
      <c r="B160" s="397" t="s">
        <v>297</v>
      </c>
      <c r="C160" s="101" t="s">
        <v>294</v>
      </c>
    </row>
    <row r="161" spans="1:3" ht="15.7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8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642</v>
      </c>
    </row>
    <row r="165" spans="1:3">
      <c r="A165" s="261">
        <v>166</v>
      </c>
      <c r="B165" s="381" t="s">
        <v>302</v>
      </c>
      <c r="C165" s="101" t="s">
        <v>642</v>
      </c>
    </row>
    <row r="166" spans="1:3">
      <c r="A166" s="261">
        <v>167</v>
      </c>
      <c r="B166" s="381" t="s">
        <v>303</v>
      </c>
      <c r="C166" s="101" t="s">
        <v>642</v>
      </c>
    </row>
    <row r="167" spans="1:3">
      <c r="A167" s="261">
        <v>168</v>
      </c>
      <c r="B167" s="381" t="s">
        <v>304</v>
      </c>
      <c r="C167" s="101" t="s">
        <v>642</v>
      </c>
    </row>
    <row r="168" spans="1:3" ht="15.75" thickBot="1">
      <c r="A168" s="269">
        <v>169</v>
      </c>
      <c r="B168" s="382" t="s">
        <v>305</v>
      </c>
      <c r="C168" s="108" t="s">
        <v>642</v>
      </c>
    </row>
    <row r="169" spans="1:3">
      <c r="A169" s="260">
        <v>170</v>
      </c>
      <c r="B169" s="383" t="s">
        <v>306</v>
      </c>
      <c r="C169" s="376" t="s">
        <v>642</v>
      </c>
    </row>
    <row r="170" spans="1:3">
      <c r="A170" s="261">
        <v>171</v>
      </c>
      <c r="B170" s="381" t="s">
        <v>307</v>
      </c>
      <c r="C170" s="101" t="s">
        <v>642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.7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9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643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716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.75" thickBot="1">
      <c r="A189" s="269">
        <v>190</v>
      </c>
      <c r="B189" s="270" t="s">
        <v>326</v>
      </c>
      <c r="C189" s="108" t="s">
        <v>716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5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.75" thickBot="1">
      <c r="A240" s="387">
        <v>241</v>
      </c>
      <c r="B240" s="274" t="s">
        <v>378</v>
      </c>
      <c r="C240" s="387" t="s">
        <v>644</v>
      </c>
    </row>
    <row r="241" spans="1:3">
      <c r="A241" s="273">
        <v>242</v>
      </c>
      <c r="B241" s="399" t="s">
        <v>379</v>
      </c>
      <c r="C241" s="273" t="s">
        <v>644</v>
      </c>
    </row>
    <row r="242" spans="1:3">
      <c r="A242" s="266">
        <v>243</v>
      </c>
      <c r="B242" s="267" t="s">
        <v>380</v>
      </c>
      <c r="C242" s="266" t="s">
        <v>644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645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645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645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644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644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644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644</v>
      </c>
    </row>
    <row r="276" spans="1:3">
      <c r="A276" s="261">
        <v>277</v>
      </c>
      <c r="B276" s="267" t="s">
        <v>419</v>
      </c>
      <c r="C276" s="101" t="s">
        <v>717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717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642</v>
      </c>
    </row>
    <row r="291" spans="1:3">
      <c r="A291" s="261">
        <v>292</v>
      </c>
      <c r="B291" s="262" t="s">
        <v>435</v>
      </c>
      <c r="C291" s="101" t="s">
        <v>642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.7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400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645</v>
      </c>
    </row>
    <row r="330" spans="1:3">
      <c r="A330" s="261">
        <v>331</v>
      </c>
      <c r="B330" s="262" t="s">
        <v>490</v>
      </c>
      <c r="C330" s="266" t="s">
        <v>645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.7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715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715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715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03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642</v>
      </c>
    </row>
    <row r="363" spans="1:3">
      <c r="A363" s="261">
        <v>364</v>
      </c>
      <c r="B363" s="262" t="s">
        <v>527</v>
      </c>
      <c r="C363" s="101" t="s">
        <v>642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.75" thickBot="1">
      <c r="A372" s="269">
        <v>373</v>
      </c>
      <c r="B372" s="270" t="s">
        <v>553</v>
      </c>
      <c r="C372" s="108" t="s">
        <v>642</v>
      </c>
    </row>
    <row r="373" spans="1:3">
      <c r="A373" s="260">
        <v>374</v>
      </c>
      <c r="B373" s="268" t="s">
        <v>554</v>
      </c>
      <c r="C373" s="376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716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.7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6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.75" thickBot="1">
      <c r="A393" s="263">
        <v>394</v>
      </c>
      <c r="B393" s="264" t="s">
        <v>576</v>
      </c>
      <c r="C393" s="388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715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617</v>
      </c>
      <c r="C422" s="101" t="s">
        <v>274</v>
      </c>
    </row>
    <row r="423" spans="1:12">
      <c r="A423" s="261">
        <v>424</v>
      </c>
      <c r="B423" s="262" t="s">
        <v>646</v>
      </c>
      <c r="C423" s="101" t="s">
        <v>274</v>
      </c>
    </row>
    <row r="424" spans="1:12">
      <c r="A424" s="261">
        <v>425</v>
      </c>
      <c r="B424" s="262" t="s">
        <v>618</v>
      </c>
      <c r="C424" s="101" t="s">
        <v>274</v>
      </c>
    </row>
    <row r="425" spans="1:12">
      <c r="A425" s="261">
        <v>426</v>
      </c>
      <c r="B425" s="262" t="s">
        <v>619</v>
      </c>
      <c r="C425" s="101" t="s">
        <v>274</v>
      </c>
    </row>
    <row r="426" spans="1:12">
      <c r="A426" s="266">
        <v>427</v>
      </c>
      <c r="B426" s="267" t="s">
        <v>620</v>
      </c>
      <c r="C426" s="266" t="s">
        <v>136</v>
      </c>
    </row>
    <row r="427" spans="1:12">
      <c r="A427" s="261">
        <v>428</v>
      </c>
      <c r="B427" s="262" t="s">
        <v>621</v>
      </c>
      <c r="C427" s="101" t="s">
        <v>206</v>
      </c>
    </row>
    <row r="428" spans="1:12">
      <c r="A428" s="261">
        <v>429</v>
      </c>
      <c r="B428" s="262" t="s">
        <v>622</v>
      </c>
      <c r="C428" s="101" t="s">
        <v>206</v>
      </c>
    </row>
    <row r="429" spans="1:12">
      <c r="A429" s="261">
        <v>430</v>
      </c>
      <c r="B429" s="262" t="s">
        <v>623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</row>
    <row r="436" spans="1:12">
      <c r="A436" s="261">
        <v>437</v>
      </c>
      <c r="B436" s="262" t="s">
        <v>650</v>
      </c>
      <c r="C436" s="101" t="s">
        <v>175</v>
      </c>
    </row>
    <row r="437" spans="1:12">
      <c r="A437" s="261">
        <v>438</v>
      </c>
      <c r="B437" s="262" t="s">
        <v>651</v>
      </c>
      <c r="C437" s="101" t="s">
        <v>175</v>
      </c>
    </row>
    <row r="438" spans="1:12">
      <c r="A438" s="261">
        <v>439</v>
      </c>
      <c r="B438" s="262" t="s">
        <v>652</v>
      </c>
      <c r="C438" s="101" t="s">
        <v>175</v>
      </c>
    </row>
    <row r="439" spans="1:12">
      <c r="A439" s="261">
        <v>440</v>
      </c>
      <c r="B439" s="262" t="s">
        <v>653</v>
      </c>
      <c r="C439" s="266" t="s">
        <v>544</v>
      </c>
    </row>
    <row r="440" spans="1:12">
      <c r="A440" s="261">
        <v>441</v>
      </c>
      <c r="B440" s="262" t="s">
        <v>654</v>
      </c>
      <c r="C440" s="266" t="s">
        <v>544</v>
      </c>
    </row>
    <row r="441" spans="1:12">
      <c r="A441" s="261">
        <v>442</v>
      </c>
      <c r="B441" s="262" t="s">
        <v>655</v>
      </c>
      <c r="C441" s="266" t="s">
        <v>544</v>
      </c>
    </row>
    <row r="442" spans="1:12">
      <c r="A442" s="261">
        <v>443</v>
      </c>
      <c r="B442" s="262" t="s">
        <v>656</v>
      </c>
      <c r="C442" s="266" t="s">
        <v>334</v>
      </c>
    </row>
    <row r="443" spans="1:12">
      <c r="A443" s="261">
        <v>444</v>
      </c>
      <c r="B443" s="267" t="s">
        <v>657</v>
      </c>
      <c r="C443" s="266" t="s">
        <v>197</v>
      </c>
    </row>
    <row r="444" spans="1:12">
      <c r="A444" s="261">
        <v>445</v>
      </c>
      <c r="B444" s="267" t="s">
        <v>658</v>
      </c>
      <c r="C444" s="266" t="s">
        <v>197</v>
      </c>
    </row>
    <row r="445" spans="1:12">
      <c r="A445" s="261">
        <v>446</v>
      </c>
      <c r="B445" s="262" t="s">
        <v>659</v>
      </c>
      <c r="C445" s="266" t="s">
        <v>373</v>
      </c>
    </row>
    <row r="446" spans="1:12">
      <c r="A446" s="261">
        <v>447</v>
      </c>
      <c r="B446" s="262" t="s">
        <v>660</v>
      </c>
      <c r="C446" s="266" t="s">
        <v>211</v>
      </c>
    </row>
    <row r="447" spans="1:12">
      <c r="A447" s="261">
        <v>448</v>
      </c>
      <c r="B447" s="262" t="s">
        <v>661</v>
      </c>
      <c r="C447" s="266" t="s">
        <v>211</v>
      </c>
    </row>
    <row r="448" spans="1:12">
      <c r="A448" s="261">
        <v>449</v>
      </c>
      <c r="B448" s="262" t="s">
        <v>662</v>
      </c>
      <c r="C448" s="266" t="s">
        <v>235</v>
      </c>
    </row>
    <row r="449" spans="1:3">
      <c r="A449" s="266">
        <v>450</v>
      </c>
      <c r="B449" s="267" t="s">
        <v>663</v>
      </c>
      <c r="C449" s="266" t="s">
        <v>136</v>
      </c>
    </row>
    <row r="450" spans="1:3">
      <c r="A450" s="261">
        <v>451</v>
      </c>
      <c r="B450" s="262" t="s">
        <v>664</v>
      </c>
      <c r="C450" s="266" t="s">
        <v>206</v>
      </c>
    </row>
    <row r="451" spans="1:3">
      <c r="A451" s="261">
        <v>452</v>
      </c>
      <c r="B451" s="262" t="s">
        <v>665</v>
      </c>
      <c r="C451" s="266" t="s">
        <v>206</v>
      </c>
    </row>
    <row r="452" spans="1:3">
      <c r="A452" s="261">
        <v>453</v>
      </c>
      <c r="B452" s="262" t="s">
        <v>666</v>
      </c>
      <c r="C452" s="266" t="s">
        <v>206</v>
      </c>
    </row>
    <row r="453" spans="1:3">
      <c r="A453" s="261">
        <v>454</v>
      </c>
      <c r="B453" s="262" t="s">
        <v>667</v>
      </c>
      <c r="C453" s="266" t="s">
        <v>206</v>
      </c>
    </row>
    <row r="454" spans="1:3">
      <c r="A454" s="261">
        <v>455</v>
      </c>
      <c r="B454" s="262" t="s">
        <v>668</v>
      </c>
      <c r="C454" s="266" t="s">
        <v>206</v>
      </c>
    </row>
    <row r="455" spans="1:3">
      <c r="A455" s="261">
        <v>456</v>
      </c>
      <c r="B455" s="262" t="s">
        <v>669</v>
      </c>
      <c r="C455" s="266" t="s">
        <v>206</v>
      </c>
    </row>
    <row r="456" spans="1:3">
      <c r="A456" s="261">
        <v>457</v>
      </c>
      <c r="B456" s="262" t="s">
        <v>670</v>
      </c>
      <c r="C456" s="266" t="s">
        <v>206</v>
      </c>
    </row>
    <row r="457" spans="1:3">
      <c r="A457" s="266">
        <v>458</v>
      </c>
      <c r="B457" s="267" t="s">
        <v>671</v>
      </c>
      <c r="C457" s="266" t="s">
        <v>136</v>
      </c>
    </row>
    <row r="458" spans="1:3">
      <c r="A458" s="261">
        <v>459</v>
      </c>
      <c r="B458" s="262" t="s">
        <v>672</v>
      </c>
      <c r="C458" s="266" t="s">
        <v>642</v>
      </c>
    </row>
    <row r="459" spans="1:3">
      <c r="A459" s="261">
        <v>460</v>
      </c>
      <c r="B459" s="262" t="s">
        <v>673</v>
      </c>
      <c r="C459" s="266" t="s">
        <v>642</v>
      </c>
    </row>
    <row r="460" spans="1:3">
      <c r="A460" s="261">
        <v>461</v>
      </c>
      <c r="B460" s="262" t="s">
        <v>674</v>
      </c>
      <c r="C460" s="266" t="s">
        <v>642</v>
      </c>
    </row>
    <row r="461" spans="1:3">
      <c r="A461" s="261">
        <v>462</v>
      </c>
      <c r="B461" s="262" t="s">
        <v>675</v>
      </c>
      <c r="C461" s="266" t="s">
        <v>373</v>
      </c>
    </row>
    <row r="462" spans="1:3">
      <c r="A462" s="261">
        <v>463</v>
      </c>
      <c r="B462" s="262" t="s">
        <v>676</v>
      </c>
      <c r="C462" s="266" t="s">
        <v>642</v>
      </c>
    </row>
    <row r="463" spans="1:3">
      <c r="A463" s="261">
        <v>464</v>
      </c>
      <c r="B463" s="262" t="s">
        <v>677</v>
      </c>
      <c r="C463" s="266" t="s">
        <v>235</v>
      </c>
    </row>
    <row r="464" spans="1:3">
      <c r="A464" s="266">
        <v>465</v>
      </c>
      <c r="B464" s="267" t="s">
        <v>678</v>
      </c>
      <c r="C464" s="266" t="s">
        <v>175</v>
      </c>
    </row>
    <row r="465" spans="1:3">
      <c r="A465" s="261">
        <v>466</v>
      </c>
      <c r="B465" s="262" t="s">
        <v>679</v>
      </c>
      <c r="C465" s="266" t="s">
        <v>409</v>
      </c>
    </row>
    <row r="466" spans="1:3">
      <c r="A466" s="261">
        <v>467</v>
      </c>
      <c r="B466" s="262" t="s">
        <v>680</v>
      </c>
      <c r="C466" s="266" t="s">
        <v>409</v>
      </c>
    </row>
    <row r="467" spans="1:3">
      <c r="A467" s="261">
        <v>468</v>
      </c>
      <c r="B467" s="267" t="s">
        <v>681</v>
      </c>
      <c r="C467" s="266" t="s">
        <v>409</v>
      </c>
    </row>
    <row r="468" spans="1:3">
      <c r="A468" s="261">
        <v>469</v>
      </c>
      <c r="B468" s="267" t="s">
        <v>682</v>
      </c>
      <c r="C468" s="266" t="s">
        <v>409</v>
      </c>
    </row>
    <row r="469" spans="1:3" ht="30">
      <c r="A469" s="261">
        <v>470</v>
      </c>
      <c r="B469" s="389" t="s">
        <v>683</v>
      </c>
      <c r="C469" s="266" t="s">
        <v>274</v>
      </c>
    </row>
    <row r="470" spans="1:3">
      <c r="A470" s="261">
        <v>471</v>
      </c>
      <c r="B470" s="262" t="s">
        <v>684</v>
      </c>
      <c r="C470" s="266" t="s">
        <v>274</v>
      </c>
    </row>
    <row r="471" spans="1:3">
      <c r="A471" s="261">
        <v>472</v>
      </c>
      <c r="B471" s="262" t="s">
        <v>685</v>
      </c>
      <c r="C471" s="266" t="s">
        <v>274</v>
      </c>
    </row>
    <row r="472" spans="1:3">
      <c r="A472" s="266">
        <v>473</v>
      </c>
      <c r="B472" s="267" t="s">
        <v>686</v>
      </c>
      <c r="C472" s="266" t="s">
        <v>713</v>
      </c>
    </row>
    <row r="473" spans="1:3">
      <c r="A473" s="261">
        <v>474</v>
      </c>
      <c r="B473" s="262" t="s">
        <v>687</v>
      </c>
      <c r="C473" s="266" t="s">
        <v>544</v>
      </c>
    </row>
    <row r="474" spans="1:3">
      <c r="A474" s="266">
        <v>475</v>
      </c>
      <c r="B474" s="267" t="s">
        <v>688</v>
      </c>
      <c r="C474" s="266" t="s">
        <v>315</v>
      </c>
    </row>
    <row r="475" spans="1:3">
      <c r="A475" s="266">
        <v>477</v>
      </c>
      <c r="B475" s="267" t="s">
        <v>689</v>
      </c>
      <c r="C475" s="266" t="s">
        <v>226</v>
      </c>
    </row>
    <row r="476" spans="1:3">
      <c r="A476" s="266">
        <v>478</v>
      </c>
      <c r="B476" s="267" t="s">
        <v>690</v>
      </c>
      <c r="C476" s="266" t="s">
        <v>315</v>
      </c>
    </row>
    <row r="477" spans="1:3">
      <c r="A477" s="261">
        <v>479</v>
      </c>
      <c r="B477" s="262" t="s">
        <v>691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274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274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718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692</v>
      </c>
      <c r="C492" s="266" t="s">
        <v>544</v>
      </c>
    </row>
    <row r="493" spans="1:3">
      <c r="A493" s="261">
        <v>500</v>
      </c>
      <c r="B493" s="262" t="s">
        <v>693</v>
      </c>
      <c r="C493" s="266" t="s">
        <v>544</v>
      </c>
    </row>
    <row r="494" spans="1:3">
      <c r="A494" s="261">
        <v>501</v>
      </c>
      <c r="B494" s="262" t="s">
        <v>694</v>
      </c>
      <c r="C494" s="266" t="s">
        <v>544</v>
      </c>
    </row>
    <row r="495" spans="1:3">
      <c r="A495" s="261">
        <v>502</v>
      </c>
      <c r="B495" s="267" t="s">
        <v>695</v>
      </c>
      <c r="C495" s="266" t="s">
        <v>387</v>
      </c>
    </row>
    <row r="496" spans="1:3">
      <c r="A496" s="261">
        <v>503</v>
      </c>
      <c r="B496" s="262" t="s">
        <v>696</v>
      </c>
      <c r="C496" s="266" t="s">
        <v>206</v>
      </c>
    </row>
    <row r="497" spans="1:3">
      <c r="A497" s="261">
        <v>504</v>
      </c>
      <c r="B497" s="262" t="s">
        <v>697</v>
      </c>
      <c r="C497" s="266" t="s">
        <v>206</v>
      </c>
    </row>
    <row r="498" spans="1:3">
      <c r="A498" s="261">
        <v>505</v>
      </c>
      <c r="B498" s="262" t="s">
        <v>698</v>
      </c>
      <c r="C498" s="266" t="s">
        <v>206</v>
      </c>
    </row>
    <row r="499" spans="1:3">
      <c r="A499" s="261">
        <v>506</v>
      </c>
      <c r="B499" s="262" t="s">
        <v>699</v>
      </c>
      <c r="C499" s="266" t="s">
        <v>206</v>
      </c>
    </row>
    <row r="500" spans="1:3">
      <c r="A500" s="261">
        <v>507</v>
      </c>
      <c r="B500" s="262" t="s">
        <v>700</v>
      </c>
      <c r="C500" s="266" t="s">
        <v>206</v>
      </c>
    </row>
    <row r="501" spans="1:3">
      <c r="A501" s="261">
        <v>508</v>
      </c>
      <c r="B501" s="262" t="s">
        <v>701</v>
      </c>
      <c r="C501" s="266" t="s">
        <v>206</v>
      </c>
    </row>
    <row r="502" spans="1:3">
      <c r="A502" s="261">
        <v>509</v>
      </c>
      <c r="B502" s="262" t="s">
        <v>702</v>
      </c>
      <c r="C502" s="266" t="s">
        <v>641</v>
      </c>
    </row>
    <row r="503" spans="1:3">
      <c r="A503" s="261">
        <v>510</v>
      </c>
      <c r="B503" s="262" t="s">
        <v>703</v>
      </c>
      <c r="C503" s="266" t="s">
        <v>641</v>
      </c>
    </row>
    <row r="504" spans="1:3">
      <c r="A504" s="261">
        <v>511</v>
      </c>
      <c r="B504" s="262" t="s">
        <v>704</v>
      </c>
      <c r="C504" s="266" t="s">
        <v>641</v>
      </c>
    </row>
    <row r="505" spans="1:3">
      <c r="A505" s="261">
        <v>512</v>
      </c>
      <c r="B505" s="262" t="s">
        <v>705</v>
      </c>
      <c r="C505" s="266" t="s">
        <v>641</v>
      </c>
    </row>
    <row r="506" spans="1:3">
      <c r="A506" s="261">
        <v>513</v>
      </c>
      <c r="B506" s="262" t="s">
        <v>706</v>
      </c>
      <c r="C506" s="266" t="s">
        <v>324</v>
      </c>
    </row>
    <row r="507" spans="1:3">
      <c r="A507" s="261">
        <v>514</v>
      </c>
      <c r="B507" s="262" t="s">
        <v>707</v>
      </c>
      <c r="C507" s="266" t="s">
        <v>324</v>
      </c>
    </row>
    <row r="508" spans="1:3">
      <c r="A508" s="261">
        <v>515</v>
      </c>
      <c r="B508" s="262" t="s">
        <v>708</v>
      </c>
      <c r="C508" s="266" t="s">
        <v>324</v>
      </c>
    </row>
    <row r="509" spans="1:3">
      <c r="A509" s="266">
        <v>516</v>
      </c>
      <c r="B509" s="267" t="s">
        <v>709</v>
      </c>
      <c r="C509" s="266" t="s">
        <v>136</v>
      </c>
    </row>
    <row r="510" spans="1:3">
      <c r="A510" s="261">
        <v>517</v>
      </c>
      <c r="B510" s="262" t="s">
        <v>719</v>
      </c>
      <c r="C510" s="266" t="s">
        <v>264</v>
      </c>
    </row>
    <row r="511" spans="1:3">
      <c r="A511" s="261">
        <v>518</v>
      </c>
      <c r="B511" s="262" t="s">
        <v>720</v>
      </c>
      <c r="C511" s="266" t="s">
        <v>130</v>
      </c>
    </row>
    <row r="512" spans="1:3">
      <c r="A512" s="261">
        <v>519</v>
      </c>
      <c r="B512" s="262" t="s">
        <v>721</v>
      </c>
      <c r="C512" s="266" t="s">
        <v>712</v>
      </c>
    </row>
    <row r="513" spans="1:3">
      <c r="A513" s="261">
        <v>520</v>
      </c>
      <c r="B513" s="262" t="s">
        <v>722</v>
      </c>
      <c r="C513" s="266" t="s">
        <v>712</v>
      </c>
    </row>
    <row r="514" spans="1:3">
      <c r="A514" s="261">
        <v>521</v>
      </c>
      <c r="B514" s="262" t="s">
        <v>723</v>
      </c>
      <c r="C514" s="266" t="s">
        <v>712</v>
      </c>
    </row>
    <row r="515" spans="1:3">
      <c r="A515" s="261">
        <v>522</v>
      </c>
      <c r="B515" s="262" t="s">
        <v>724</v>
      </c>
      <c r="C515" s="266" t="s">
        <v>712</v>
      </c>
    </row>
    <row r="516" spans="1:3">
      <c r="A516" s="261">
        <v>523</v>
      </c>
      <c r="B516" s="262" t="s">
        <v>725</v>
      </c>
      <c r="C516" s="266" t="s">
        <v>712</v>
      </c>
    </row>
    <row r="517" spans="1:3">
      <c r="A517" s="266">
        <v>524</v>
      </c>
      <c r="B517" s="262" t="s">
        <v>726</v>
      </c>
      <c r="C517" s="266" t="s">
        <v>161</v>
      </c>
    </row>
    <row r="518" spans="1:3">
      <c r="A518" s="261">
        <v>525</v>
      </c>
      <c r="B518" s="262" t="s">
        <v>727</v>
      </c>
      <c r="C518" s="266" t="s">
        <v>274</v>
      </c>
    </row>
    <row r="519" spans="1:3">
      <c r="A519" s="261">
        <v>526</v>
      </c>
      <c r="B519" s="262" t="s">
        <v>728</v>
      </c>
      <c r="C519" s="266" t="s">
        <v>175</v>
      </c>
    </row>
    <row r="520" spans="1:3">
      <c r="A520" s="261">
        <v>527</v>
      </c>
      <c r="B520" s="262" t="s">
        <v>729</v>
      </c>
      <c r="C520" s="266" t="s">
        <v>175</v>
      </c>
    </row>
    <row r="521" spans="1:3">
      <c r="A521" s="261">
        <v>528</v>
      </c>
      <c r="B521" s="262" t="s">
        <v>730</v>
      </c>
      <c r="C521" s="266" t="s">
        <v>175</v>
      </c>
    </row>
    <row r="522" spans="1:3">
      <c r="A522" s="261">
        <v>529</v>
      </c>
      <c r="B522" s="262" t="s">
        <v>731</v>
      </c>
      <c r="C522" s="266" t="s">
        <v>136</v>
      </c>
    </row>
    <row r="523" spans="1:3">
      <c r="A523" s="266">
        <v>530</v>
      </c>
      <c r="B523" s="262" t="s">
        <v>732</v>
      </c>
      <c r="C523" s="266" t="s">
        <v>315</v>
      </c>
    </row>
    <row r="524" spans="1:3">
      <c r="A524" s="261">
        <v>531</v>
      </c>
      <c r="B524" s="262" t="s">
        <v>733</v>
      </c>
      <c r="C524" s="266" t="s">
        <v>218</v>
      </c>
    </row>
    <row r="525" spans="1:3">
      <c r="A525" s="261">
        <v>532</v>
      </c>
      <c r="B525" s="262" t="s">
        <v>734</v>
      </c>
      <c r="C525" s="266" t="s">
        <v>309</v>
      </c>
    </row>
    <row r="526" spans="1:3">
      <c r="A526" s="261">
        <v>533</v>
      </c>
      <c r="B526" s="262" t="s">
        <v>735</v>
      </c>
      <c r="C526" s="266" t="s">
        <v>404</v>
      </c>
    </row>
    <row r="527" spans="1:3">
      <c r="A527" s="261">
        <v>534</v>
      </c>
      <c r="B527" s="262" t="s">
        <v>736</v>
      </c>
      <c r="C527" s="266" t="s">
        <v>404</v>
      </c>
    </row>
    <row r="528" spans="1:3">
      <c r="A528" s="261">
        <v>535</v>
      </c>
      <c r="B528" s="262" t="s">
        <v>737</v>
      </c>
      <c r="C528" s="266" t="s">
        <v>404</v>
      </c>
    </row>
    <row r="529" spans="1:3">
      <c r="A529" s="261">
        <v>536</v>
      </c>
      <c r="B529" s="262" t="s">
        <v>738</v>
      </c>
      <c r="C529" s="266" t="s">
        <v>211</v>
      </c>
    </row>
    <row r="530" spans="1:3">
      <c r="A530" s="266">
        <v>537</v>
      </c>
      <c r="B530" s="262" t="s">
        <v>739</v>
      </c>
      <c r="C530" s="266" t="s">
        <v>309</v>
      </c>
    </row>
    <row r="531" spans="1:3">
      <c r="A531" s="266">
        <v>538</v>
      </c>
      <c r="B531" s="262" t="s">
        <v>740</v>
      </c>
      <c r="C531" s="266" t="s">
        <v>334</v>
      </c>
    </row>
    <row r="532" spans="1:3">
      <c r="A532" s="266">
        <v>539</v>
      </c>
      <c r="B532" s="267" t="s">
        <v>741</v>
      </c>
      <c r="C532" s="266" t="s">
        <v>742</v>
      </c>
    </row>
    <row r="533" spans="1:3">
      <c r="A533" s="261">
        <v>540</v>
      </c>
      <c r="B533" s="267" t="s">
        <v>743</v>
      </c>
      <c r="C533" s="266" t="s">
        <v>206</v>
      </c>
    </row>
    <row r="534" spans="1:3">
      <c r="A534" s="266">
        <v>541</v>
      </c>
      <c r="B534" s="267" t="s">
        <v>744</v>
      </c>
      <c r="C534" s="266" t="s">
        <v>206</v>
      </c>
    </row>
    <row r="535" spans="1:3">
      <c r="A535" s="266">
        <v>542</v>
      </c>
      <c r="B535" s="267" t="s">
        <v>745</v>
      </c>
      <c r="C535" s="266" t="s">
        <v>206</v>
      </c>
    </row>
    <row r="536" spans="1:3">
      <c r="A536" s="266">
        <v>543</v>
      </c>
      <c r="B536" s="267" t="s">
        <v>746</v>
      </c>
      <c r="C536" s="266" t="s">
        <v>206</v>
      </c>
    </row>
    <row r="537" spans="1:3">
      <c r="A537" s="261">
        <v>544</v>
      </c>
      <c r="B537" s="267" t="s">
        <v>747</v>
      </c>
      <c r="C537" s="266" t="s">
        <v>206</v>
      </c>
    </row>
    <row r="538" spans="1:3">
      <c r="A538" s="261">
        <v>545</v>
      </c>
      <c r="B538" s="267" t="s">
        <v>748</v>
      </c>
      <c r="C538" s="266" t="s">
        <v>206</v>
      </c>
    </row>
    <row r="539" spans="1:3">
      <c r="A539" s="261">
        <v>546</v>
      </c>
      <c r="B539" s="267" t="s">
        <v>749</v>
      </c>
      <c r="C539" s="266" t="s">
        <v>274</v>
      </c>
    </row>
    <row r="540" spans="1:3">
      <c r="A540" s="266">
        <v>547</v>
      </c>
      <c r="B540" s="267" t="s">
        <v>750</v>
      </c>
      <c r="C540" s="266" t="s">
        <v>274</v>
      </c>
    </row>
    <row r="541" spans="1:3">
      <c r="A541" s="266">
        <v>548</v>
      </c>
      <c r="B541" s="267" t="s">
        <v>751</v>
      </c>
      <c r="C541" s="266" t="s">
        <v>274</v>
      </c>
    </row>
    <row r="542" spans="1:3">
      <c r="A542" s="266">
        <v>549</v>
      </c>
      <c r="B542" s="267" t="s">
        <v>752</v>
      </c>
      <c r="C542" s="266" t="s">
        <v>274</v>
      </c>
    </row>
    <row r="543" spans="1:3">
      <c r="A543" s="261">
        <v>550</v>
      </c>
      <c r="B543" s="267" t="s">
        <v>753</v>
      </c>
      <c r="C543" s="266" t="s">
        <v>274</v>
      </c>
    </row>
    <row r="544" spans="1:3">
      <c r="A544" s="266">
        <v>551</v>
      </c>
      <c r="B544" s="267" t="s">
        <v>754</v>
      </c>
      <c r="C544" s="266" t="s">
        <v>274</v>
      </c>
    </row>
    <row r="545" spans="1:3">
      <c r="A545" s="266">
        <v>552</v>
      </c>
      <c r="B545" s="267" t="s">
        <v>755</v>
      </c>
      <c r="C545" s="266" t="s">
        <v>274</v>
      </c>
    </row>
    <row r="546" spans="1:3">
      <c r="A546" s="266">
        <v>553</v>
      </c>
      <c r="B546" s="267" t="s">
        <v>756</v>
      </c>
      <c r="C546" s="266" t="s">
        <v>274</v>
      </c>
    </row>
    <row r="547" spans="1:3">
      <c r="A547" s="261">
        <v>554</v>
      </c>
      <c r="B547" s="267" t="s">
        <v>757</v>
      </c>
      <c r="C547" s="266" t="s">
        <v>274</v>
      </c>
    </row>
    <row r="548" spans="1:3">
      <c r="A548" s="261">
        <v>555</v>
      </c>
      <c r="B548" s="267" t="s">
        <v>758</v>
      </c>
      <c r="C548" s="266" t="s">
        <v>274</v>
      </c>
    </row>
    <row r="549" spans="1:3">
      <c r="A549" s="261">
        <v>556</v>
      </c>
      <c r="B549" s="267" t="s">
        <v>759</v>
      </c>
      <c r="C549" s="266" t="s">
        <v>274</v>
      </c>
    </row>
    <row r="550" spans="1:3">
      <c r="A550" s="266">
        <v>557</v>
      </c>
      <c r="B550" s="267" t="s">
        <v>760</v>
      </c>
      <c r="C550" s="266" t="s">
        <v>274</v>
      </c>
    </row>
    <row r="551" spans="1:3">
      <c r="A551" s="266">
        <v>558</v>
      </c>
      <c r="B551" s="267" t="s">
        <v>761</v>
      </c>
      <c r="C551" s="266" t="s">
        <v>274</v>
      </c>
    </row>
    <row r="552" spans="1:3">
      <c r="A552" s="266">
        <v>559</v>
      </c>
      <c r="B552" s="267" t="s">
        <v>762</v>
      </c>
      <c r="C552" s="266" t="s">
        <v>274</v>
      </c>
    </row>
    <row r="553" spans="1:3">
      <c r="A553" s="261">
        <v>560</v>
      </c>
      <c r="B553" s="267" t="s">
        <v>763</v>
      </c>
      <c r="C553" s="266" t="s">
        <v>274</v>
      </c>
    </row>
    <row r="554" spans="1:3">
      <c r="A554" s="266">
        <v>561</v>
      </c>
      <c r="B554" s="267" t="s">
        <v>764</v>
      </c>
      <c r="C554" s="266" t="s">
        <v>274</v>
      </c>
    </row>
    <row r="555" spans="1:3">
      <c r="A555" s="266">
        <v>562</v>
      </c>
      <c r="B555" s="267" t="s">
        <v>765</v>
      </c>
      <c r="C555" s="266" t="s">
        <v>274</v>
      </c>
    </row>
    <row r="556" spans="1:3">
      <c r="A556" s="266">
        <v>563</v>
      </c>
      <c r="B556" s="267" t="s">
        <v>766</v>
      </c>
      <c r="C556" s="266" t="s">
        <v>274</v>
      </c>
    </row>
    <row r="557" spans="1:3">
      <c r="A557" s="261">
        <v>564</v>
      </c>
      <c r="B557" s="267" t="s">
        <v>767</v>
      </c>
      <c r="C557" s="266" t="s">
        <v>274</v>
      </c>
    </row>
    <row r="558" spans="1:3">
      <c r="A558" s="261">
        <v>565</v>
      </c>
      <c r="B558" s="267" t="s">
        <v>768</v>
      </c>
      <c r="C558" s="266" t="s">
        <v>274</v>
      </c>
    </row>
    <row r="559" spans="1:3">
      <c r="A559" s="261">
        <v>566</v>
      </c>
      <c r="B559" s="267" t="s">
        <v>769</v>
      </c>
      <c r="C559" s="266" t="s">
        <v>274</v>
      </c>
    </row>
    <row r="560" spans="1:3">
      <c r="A560" s="266">
        <v>567</v>
      </c>
      <c r="B560" s="267" t="s">
        <v>770</v>
      </c>
      <c r="C560" s="266" t="s">
        <v>274</v>
      </c>
    </row>
    <row r="561" spans="1:3">
      <c r="A561" s="266">
        <v>568</v>
      </c>
      <c r="B561" s="267" t="s">
        <v>771</v>
      </c>
      <c r="C561" s="266" t="s">
        <v>274</v>
      </c>
    </row>
    <row r="562" spans="1:3">
      <c r="A562" s="266">
        <v>569</v>
      </c>
      <c r="B562" s="267" t="s">
        <v>772</v>
      </c>
      <c r="C562" s="266" t="s">
        <v>274</v>
      </c>
    </row>
    <row r="563" spans="1:3">
      <c r="A563" s="261">
        <v>570</v>
      </c>
      <c r="B563" s="267" t="s">
        <v>773</v>
      </c>
      <c r="C563" s="266" t="s">
        <v>274</v>
      </c>
    </row>
    <row r="564" spans="1:3">
      <c r="A564" s="266">
        <v>571</v>
      </c>
      <c r="B564" s="267" t="s">
        <v>774</v>
      </c>
      <c r="C564" s="266" t="s">
        <v>274</v>
      </c>
    </row>
    <row r="565" spans="1:3">
      <c r="A565" s="266">
        <v>572</v>
      </c>
      <c r="B565" s="267" t="s">
        <v>775</v>
      </c>
      <c r="C565" s="266" t="s">
        <v>274</v>
      </c>
    </row>
    <row r="566" spans="1:3">
      <c r="A566" s="266">
        <v>573</v>
      </c>
      <c r="B566" s="267" t="s">
        <v>776</v>
      </c>
      <c r="C566" s="266" t="s">
        <v>274</v>
      </c>
    </row>
    <row r="567" spans="1:3">
      <c r="A567" s="261">
        <v>574</v>
      </c>
      <c r="B567" s="267" t="s">
        <v>777</v>
      </c>
      <c r="C567" s="266" t="s">
        <v>404</v>
      </c>
    </row>
    <row r="568" spans="1:3">
      <c r="A568" s="261">
        <v>575</v>
      </c>
      <c r="B568" s="267" t="s">
        <v>778</v>
      </c>
      <c r="C568" s="266" t="s">
        <v>404</v>
      </c>
    </row>
    <row r="569" spans="1:3">
      <c r="A569" s="261">
        <v>576</v>
      </c>
      <c r="B569" s="267" t="s">
        <v>779</v>
      </c>
      <c r="C569" s="266" t="s">
        <v>404</v>
      </c>
    </row>
    <row r="570" spans="1:3">
      <c r="A570" s="266">
        <v>577</v>
      </c>
      <c r="B570" s="267" t="s">
        <v>780</v>
      </c>
      <c r="C570" s="266" t="s">
        <v>404</v>
      </c>
    </row>
    <row r="571" spans="1:3">
      <c r="A571" s="266">
        <v>578</v>
      </c>
      <c r="B571" s="267" t="s">
        <v>781</v>
      </c>
      <c r="C571" s="266" t="s">
        <v>404</v>
      </c>
    </row>
    <row r="572" spans="1:3">
      <c r="A572" s="266">
        <v>579</v>
      </c>
      <c r="B572" s="267" t="s">
        <v>782</v>
      </c>
      <c r="C572" s="266" t="s">
        <v>645</v>
      </c>
    </row>
    <row r="573" spans="1:3">
      <c r="A573" s="261">
        <v>580</v>
      </c>
      <c r="B573" s="267" t="s">
        <v>783</v>
      </c>
      <c r="C573" s="266" t="s">
        <v>645</v>
      </c>
    </row>
    <row r="574" spans="1:3">
      <c r="A574" s="266">
        <v>581</v>
      </c>
      <c r="B574" s="267" t="s">
        <v>784</v>
      </c>
      <c r="C574" s="266" t="s">
        <v>645</v>
      </c>
    </row>
    <row r="575" spans="1:3">
      <c r="A575" s="266">
        <v>582</v>
      </c>
      <c r="B575" s="267" t="s">
        <v>785</v>
      </c>
      <c r="C575" s="266" t="s">
        <v>645</v>
      </c>
    </row>
    <row r="576" spans="1:3">
      <c r="A576" s="266">
        <v>583</v>
      </c>
      <c r="B576" s="267" t="s">
        <v>786</v>
      </c>
      <c r="C576" s="266" t="s">
        <v>645</v>
      </c>
    </row>
    <row r="577" spans="1:3">
      <c r="A577" s="261">
        <v>584</v>
      </c>
      <c r="B577" s="267" t="s">
        <v>787</v>
      </c>
      <c r="C577" s="266" t="s">
        <v>645</v>
      </c>
    </row>
    <row r="578" spans="1:3">
      <c r="A578" s="261">
        <v>585</v>
      </c>
      <c r="B578" s="267" t="s">
        <v>788</v>
      </c>
      <c r="C578" s="266" t="s">
        <v>544</v>
      </c>
    </row>
    <row r="579" spans="1:3">
      <c r="A579" s="261">
        <v>586</v>
      </c>
      <c r="B579" s="267" t="s">
        <v>789</v>
      </c>
      <c r="C579" s="266" t="s">
        <v>544</v>
      </c>
    </row>
    <row r="580" spans="1:3">
      <c r="A580" s="266">
        <v>587</v>
      </c>
      <c r="B580" s="267" t="s">
        <v>790</v>
      </c>
      <c r="C580" s="266" t="s">
        <v>544</v>
      </c>
    </row>
    <row r="581" spans="1:3">
      <c r="A581" s="266">
        <v>588</v>
      </c>
      <c r="B581" s="267" t="s">
        <v>791</v>
      </c>
      <c r="C581" s="266" t="s">
        <v>544</v>
      </c>
    </row>
    <row r="582" spans="1:3">
      <c r="A582" s="266">
        <v>589</v>
      </c>
      <c r="B582" s="267" t="s">
        <v>792</v>
      </c>
      <c r="C582" s="266" t="s">
        <v>544</v>
      </c>
    </row>
    <row r="583" spans="1:3">
      <c r="A583" s="266">
        <v>590</v>
      </c>
      <c r="B583" s="267" t="s">
        <v>793</v>
      </c>
      <c r="C583" s="266" t="s">
        <v>544</v>
      </c>
    </row>
    <row r="584" spans="1:3">
      <c r="A584" s="266">
        <v>591</v>
      </c>
      <c r="B584" s="267" t="s">
        <v>794</v>
      </c>
      <c r="C584" s="266" t="s">
        <v>315</v>
      </c>
    </row>
    <row r="585" spans="1:3">
      <c r="A585" s="266">
        <v>592</v>
      </c>
      <c r="B585" s="267" t="s">
        <v>795</v>
      </c>
      <c r="C585" s="266" t="s">
        <v>344</v>
      </c>
    </row>
    <row r="586" spans="1:3">
      <c r="A586" s="261">
        <v>593</v>
      </c>
      <c r="B586" s="267" t="s">
        <v>796</v>
      </c>
      <c r="C586" s="266" t="s">
        <v>344</v>
      </c>
    </row>
    <row r="587" spans="1:3">
      <c r="A587" s="261">
        <v>594</v>
      </c>
      <c r="B587" s="267" t="s">
        <v>797</v>
      </c>
      <c r="C587" s="266" t="s">
        <v>344</v>
      </c>
    </row>
    <row r="588" spans="1:3">
      <c r="A588" s="261">
        <v>595</v>
      </c>
      <c r="B588" s="267" t="s">
        <v>798</v>
      </c>
      <c r="C588" s="266" t="s">
        <v>136</v>
      </c>
    </row>
    <row r="589" spans="1:3">
      <c r="A589" s="266">
        <v>596</v>
      </c>
      <c r="B589" s="267" t="s">
        <v>799</v>
      </c>
      <c r="C589" s="266" t="s">
        <v>197</v>
      </c>
    </row>
    <row r="590" spans="1:3">
      <c r="A590" s="266">
        <v>597</v>
      </c>
      <c r="B590" s="267" t="s">
        <v>800</v>
      </c>
      <c r="C590" s="266" t="s">
        <v>197</v>
      </c>
    </row>
    <row r="591" spans="1:3">
      <c r="A591" s="266">
        <v>598</v>
      </c>
      <c r="B591" s="267" t="s">
        <v>801</v>
      </c>
      <c r="C591" s="266" t="s">
        <v>197</v>
      </c>
    </row>
    <row r="592" spans="1:3">
      <c r="A592" s="266">
        <v>599</v>
      </c>
      <c r="B592" s="267" t="s">
        <v>802</v>
      </c>
      <c r="C592" s="266" t="s">
        <v>197</v>
      </c>
    </row>
    <row r="593" spans="1:3">
      <c r="A593" s="266">
        <v>600</v>
      </c>
      <c r="B593" s="267" t="s">
        <v>803</v>
      </c>
      <c r="C593" s="266" t="s">
        <v>324</v>
      </c>
    </row>
    <row r="594" spans="1:3">
      <c r="A594" s="266">
        <v>601</v>
      </c>
      <c r="B594" s="267" t="s">
        <v>804</v>
      </c>
      <c r="C594" s="266" t="s">
        <v>324</v>
      </c>
    </row>
    <row r="595" spans="1:3">
      <c r="A595" s="261">
        <v>602</v>
      </c>
      <c r="B595" s="267" t="s">
        <v>805</v>
      </c>
      <c r="C595" s="266" t="s">
        <v>324</v>
      </c>
    </row>
    <row r="596" spans="1:3">
      <c r="A596" s="261">
        <v>603</v>
      </c>
      <c r="B596" s="267" t="s">
        <v>806</v>
      </c>
      <c r="C596" s="266" t="s">
        <v>324</v>
      </c>
    </row>
    <row r="597" spans="1:3">
      <c r="A597" s="261">
        <v>604</v>
      </c>
      <c r="B597" s="267" t="s">
        <v>807</v>
      </c>
      <c r="C597" s="266" t="s">
        <v>409</v>
      </c>
    </row>
    <row r="598" spans="1:3">
      <c r="A598" s="266">
        <v>605</v>
      </c>
      <c r="B598" s="267" t="s">
        <v>808</v>
      </c>
      <c r="C598" s="266" t="s">
        <v>409</v>
      </c>
    </row>
    <row r="599" spans="1:3">
      <c r="A599" s="266">
        <v>606</v>
      </c>
      <c r="B599" s="267" t="s">
        <v>809</v>
      </c>
      <c r="C599" s="266" t="s">
        <v>373</v>
      </c>
    </row>
    <row r="600" spans="1:3">
      <c r="A600" s="266">
        <v>607</v>
      </c>
      <c r="B600" s="267" t="s">
        <v>810</v>
      </c>
      <c r="C600" s="266" t="s">
        <v>264</v>
      </c>
    </row>
    <row r="601" spans="1:3">
      <c r="A601" s="266">
        <v>608</v>
      </c>
      <c r="B601" s="267" t="s">
        <v>811</v>
      </c>
      <c r="C601" s="266" t="s">
        <v>264</v>
      </c>
    </row>
    <row r="602" spans="1:3">
      <c r="A602" s="261">
        <v>609</v>
      </c>
      <c r="B602" s="267" t="s">
        <v>812</v>
      </c>
      <c r="C602" s="266" t="s">
        <v>264</v>
      </c>
    </row>
    <row r="603" spans="1:3">
      <c r="A603" s="261">
        <v>610</v>
      </c>
      <c r="B603" s="267" t="s">
        <v>813</v>
      </c>
      <c r="C603" s="266" t="s">
        <v>264</v>
      </c>
    </row>
    <row r="604" spans="1:3">
      <c r="A604" s="261">
        <v>611</v>
      </c>
      <c r="B604" s="267" t="s">
        <v>814</v>
      </c>
      <c r="C604" s="266" t="s">
        <v>264</v>
      </c>
    </row>
    <row r="605" spans="1:3">
      <c r="A605" s="261">
        <v>612</v>
      </c>
      <c r="B605" s="267" t="s">
        <v>817</v>
      </c>
      <c r="C605" s="266" t="s">
        <v>136</v>
      </c>
    </row>
    <row r="606" spans="1:3">
      <c r="A606" s="261">
        <v>613</v>
      </c>
      <c r="B606" s="267" t="s">
        <v>818</v>
      </c>
      <c r="C606" s="266" t="s">
        <v>136</v>
      </c>
    </row>
    <row r="607" spans="1:3">
      <c r="A607" s="261">
        <v>1001</v>
      </c>
      <c r="B607" s="262" t="s">
        <v>815</v>
      </c>
      <c r="C607" s="266" t="s">
        <v>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58" t="s">
        <v>0</v>
      </c>
      <c r="C1" s="458"/>
      <c r="D1" s="45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9" t="s">
        <v>1</v>
      </c>
      <c r="R1" s="459"/>
      <c r="S1" s="459"/>
      <c r="T1" s="459"/>
      <c r="U1" s="45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1"/>
      <c r="E2" s="462"/>
      <c r="F2" s="463">
        <v>1</v>
      </c>
      <c r="G2" s="464"/>
      <c r="H2" s="465">
        <v>2</v>
      </c>
      <c r="I2" s="464"/>
      <c r="J2" s="465">
        <v>3</v>
      </c>
      <c r="K2" s="464"/>
      <c r="L2" s="465">
        <v>4</v>
      </c>
      <c r="M2" s="466"/>
      <c r="N2" s="467" t="s">
        <v>4</v>
      </c>
      <c r="O2" s="468"/>
      <c r="P2" s="469" t="s">
        <v>84</v>
      </c>
      <c r="Q2" s="470"/>
      <c r="R2" s="471" t="s">
        <v>5</v>
      </c>
      <c r="S2" s="471"/>
      <c r="T2" s="126" t="s">
        <v>6</v>
      </c>
      <c r="W2" s="7">
        <v>1</v>
      </c>
      <c r="X2" s="453" t="str">
        <f>IF(ISERROR(INDEX($C$3:$C$6,MATCH(W2,$T$3:$T$6,0))),"",(INDEX($C$3:$C$6,MATCH(W2,$T$3:$T$6,0))))</f>
        <v/>
      </c>
      <c r="Y2" s="454"/>
      <c r="Z2" s="455"/>
      <c r="AB2" s="456" t="s">
        <v>85</v>
      </c>
      <c r="AC2" s="456"/>
      <c r="AD2" s="456"/>
      <c r="AE2" s="456"/>
      <c r="AG2" s="6" t="s">
        <v>86</v>
      </c>
      <c r="AK2" s="457" t="s">
        <v>87</v>
      </c>
      <c r="AL2" s="457"/>
      <c r="AP2" s="6" t="s">
        <v>88</v>
      </c>
    </row>
    <row r="3" spans="2:47" ht="24" customHeight="1">
      <c r="B3" s="127">
        <v>1</v>
      </c>
      <c r="C3" s="446" t="str">
        <f>IF(GROUPS!D4="","",GROUPS!D4)</f>
        <v>Филип Младеновски (70)</v>
      </c>
      <c r="D3" s="447"/>
      <c r="E3" s="44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9" t="str">
        <f>IF(ISERROR(IF(AND(T9="",T13="",T17=""),"",SUM(AB3:AD3)+(N3-O3)/1000)+(AK3/10000)),"",IF(AND(T9="",T13="",T17=""),"",SUM(AB3:AD3)+(N3-O3)/1000)+(AK3/10000)+(AG3/100000))</f>
        <v/>
      </c>
      <c r="S3" s="44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3" t="str">
        <f t="shared" ref="X3:X5" si="0">IF(ISERROR(INDEX($C$3:$C$6,MATCH(W3,$T$3:$T$6,0))),"",(INDEX($C$3:$C$6,MATCH(W3,$T$3:$T$6,0))))</f>
        <v/>
      </c>
      <c r="Y3" s="454"/>
      <c r="Z3" s="45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4">
        <f>SUM(AH3:AJ3)-SUM(AM3:AO3)</f>
        <v>0</v>
      </c>
      <c r="AL3" s="44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6" t="str">
        <f>IF(GROUPS!D5="","",GROUPS!D5)</f>
        <v>Бобан Лашкоски (17)</v>
      </c>
      <c r="D4" s="447"/>
      <c r="E4" s="44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9" t="str">
        <f>IF(ISERROR(IF(AND(T10="",U13="",U18=""),"",SUM(AB4:AD4)+(N4-O4)/1000)+(AK4/10000)+(AG4/100000)),"",IF(AND(T10="",U13="",U18=""),"",SUM(AB4:AD4)+(N4-O4)/1000)+(AK4/10000)+(AG4/100000))</f>
        <v/>
      </c>
      <c r="S4" s="44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0" t="str">
        <f t="shared" si="0"/>
        <v/>
      </c>
      <c r="Y4" s="451"/>
      <c r="Z4" s="45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4">
        <f t="shared" ref="AK4:AK6" si="2">SUM(AH4:AJ4)-SUM(AM4:AO4)</f>
        <v>0</v>
      </c>
      <c r="AL4" s="44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6" t="str">
        <f>IF(GROUPS!D6="","",GROUPS!D6)</f>
        <v>Даниел Ѓокановски (331)</v>
      </c>
      <c r="D5" s="447"/>
      <c r="E5" s="44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9" t="str">
        <f>IF(ISERROR(IF(AND(U9="",T14="",T18=""),"",SUM(AB5:AD5)+(N5-O5)/1000)+(AK5/10000)+(AG5/100000)),"",IF(AND(U9="",T14="",T18=""),"",SUM(AB5:AD5)+(N5-O5)/1000)+(AK5/10000)+(AG5/100000))</f>
        <v/>
      </c>
      <c r="S5" s="44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0" t="str">
        <f t="shared" si="0"/>
        <v/>
      </c>
      <c r="Y5" s="451"/>
      <c r="Z5" s="45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44">
        <f t="shared" si="2"/>
        <v>0</v>
      </c>
      <c r="AL5" s="44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0" t="str">
        <f>IF(GROUPS!D7="","",GROUPS!D7)</f>
        <v/>
      </c>
      <c r="D6" s="441"/>
      <c r="E6" s="44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0" t="s">
        <v>7</v>
      </c>
      <c r="C8" s="435"/>
      <c r="D8" s="435"/>
      <c r="E8" s="431"/>
      <c r="F8" s="436" t="s">
        <v>8</v>
      </c>
      <c r="G8" s="437"/>
      <c r="H8" s="433" t="s">
        <v>9</v>
      </c>
      <c r="I8" s="437"/>
      <c r="J8" s="433" t="s">
        <v>10</v>
      </c>
      <c r="K8" s="437"/>
      <c r="L8" s="433" t="s">
        <v>11</v>
      </c>
      <c r="M8" s="437"/>
      <c r="N8" s="433" t="s">
        <v>12</v>
      </c>
      <c r="O8" s="437"/>
      <c r="P8" s="433" t="s">
        <v>13</v>
      </c>
      <c r="Q8" s="437"/>
      <c r="R8" s="433" t="s">
        <v>14</v>
      </c>
      <c r="S8" s="434"/>
      <c r="T8" s="430" t="s">
        <v>15</v>
      </c>
      <c r="U8" s="431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 ht="19.5" thickBot="1">
      <c r="B9" s="217">
        <v>1</v>
      </c>
      <c r="C9" s="218" t="str">
        <f>IF(C3="","",VLOOKUP(B9,$B$3:$E$6,2,FALSE))</f>
        <v>Филип Младеновски (70)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Бобан Лашкоски (17)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0" t="s">
        <v>16</v>
      </c>
      <c r="C12" s="435"/>
      <c r="D12" s="435"/>
      <c r="E12" s="431"/>
      <c r="F12" s="436" t="s">
        <v>8</v>
      </c>
      <c r="G12" s="437"/>
      <c r="H12" s="433" t="s">
        <v>9</v>
      </c>
      <c r="I12" s="437"/>
      <c r="J12" s="433" t="s">
        <v>10</v>
      </c>
      <c r="K12" s="437"/>
      <c r="L12" s="433" t="s">
        <v>11</v>
      </c>
      <c r="M12" s="437"/>
      <c r="N12" s="433" t="s">
        <v>12</v>
      </c>
      <c r="O12" s="437"/>
      <c r="P12" s="433" t="s">
        <v>13</v>
      </c>
      <c r="Q12" s="437"/>
      <c r="R12" s="433" t="s">
        <v>14</v>
      </c>
      <c r="S12" s="434"/>
      <c r="T12" s="430" t="s">
        <v>15</v>
      </c>
      <c r="U12" s="431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Бобан Лашкоски (17)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Даниел Ѓокановски (331)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0" t="s">
        <v>17</v>
      </c>
      <c r="C16" s="435"/>
      <c r="D16" s="435"/>
      <c r="E16" s="431"/>
      <c r="F16" s="436" t="s">
        <v>8</v>
      </c>
      <c r="G16" s="437"/>
      <c r="H16" s="433" t="s">
        <v>9</v>
      </c>
      <c r="I16" s="437"/>
      <c r="J16" s="433" t="s">
        <v>10</v>
      </c>
      <c r="K16" s="437"/>
      <c r="L16" s="433" t="s">
        <v>11</v>
      </c>
      <c r="M16" s="437"/>
      <c r="N16" s="433" t="s">
        <v>12</v>
      </c>
      <c r="O16" s="437"/>
      <c r="P16" s="433" t="s">
        <v>13</v>
      </c>
      <c r="Q16" s="437"/>
      <c r="R16" s="433" t="s">
        <v>14</v>
      </c>
      <c r="S16" s="434"/>
      <c r="T16" s="430" t="s">
        <v>15</v>
      </c>
      <c r="U16" s="431"/>
    </row>
    <row r="17" spans="2:41" hidden="1">
      <c r="B17" s="154">
        <v>1</v>
      </c>
      <c r="C17" s="155" t="str">
        <f>IF(C5="","",VLOOKUP(B17,$B$3:$E$6,2,FALSE))</f>
        <v>Филип Младеновски (70)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Даниел Ѓокановски (331)</v>
      </c>
      <c r="D18" s="166">
        <v>2</v>
      </c>
      <c r="E18" s="167" t="str">
        <f>IF(C5="","",VLOOKUP(D18,$B$3:$E$6,2,FALSE))</f>
        <v>Бобан Лашкоски (17)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Z12" sqref="Z1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8" t="s">
        <v>0</v>
      </c>
      <c r="C1" s="458"/>
      <c r="D1" s="45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9" t="s">
        <v>1</v>
      </c>
      <c r="R1" s="459"/>
      <c r="S1" s="459"/>
      <c r="T1" s="459"/>
      <c r="U1" s="45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1"/>
      <c r="E2" s="462"/>
      <c r="F2" s="463">
        <v>1</v>
      </c>
      <c r="G2" s="464"/>
      <c r="H2" s="465">
        <v>2</v>
      </c>
      <c r="I2" s="464"/>
      <c r="J2" s="465">
        <v>3</v>
      </c>
      <c r="K2" s="464"/>
      <c r="L2" s="465">
        <v>4</v>
      </c>
      <c r="M2" s="466"/>
      <c r="N2" s="467" t="s">
        <v>4</v>
      </c>
      <c r="O2" s="468"/>
      <c r="P2" s="469" t="s">
        <v>84</v>
      </c>
      <c r="Q2" s="470"/>
      <c r="R2" s="471" t="s">
        <v>5</v>
      </c>
      <c r="S2" s="471"/>
      <c r="T2" s="126" t="s">
        <v>6</v>
      </c>
      <c r="W2" s="7">
        <v>1</v>
      </c>
      <c r="X2" s="475" t="str">
        <f>IF(ISERROR(INDEX($C$3:$C$6,MATCH(W2,$T$3:$T$6,0))),"",(INDEX($C$3:$C$6,MATCH(W2,$T$3:$T$6,0))))</f>
        <v>Филип Младеновски (70)</v>
      </c>
      <c r="Y2" s="476"/>
      <c r="Z2" s="477"/>
      <c r="AB2" s="456" t="s">
        <v>85</v>
      </c>
      <c r="AC2" s="456"/>
      <c r="AD2" s="456"/>
      <c r="AE2" s="456"/>
      <c r="AG2" s="6" t="s">
        <v>86</v>
      </c>
      <c r="AK2" s="457" t="s">
        <v>87</v>
      </c>
      <c r="AL2" s="457"/>
      <c r="AP2" s="6" t="s">
        <v>88</v>
      </c>
    </row>
    <row r="3" spans="2:47" ht="24" customHeight="1">
      <c r="B3" s="127">
        <v>1</v>
      </c>
      <c r="C3" s="446" t="str">
        <f>IF(GROUPS!D4="","",GROUPS!D4)</f>
        <v>Филип Младеновски (70)</v>
      </c>
      <c r="D3" s="447"/>
      <c r="E3" s="448"/>
      <c r="F3" s="128"/>
      <c r="G3" s="129"/>
      <c r="H3" s="130">
        <f>T13</f>
        <v>3</v>
      </c>
      <c r="I3" s="131">
        <f>U13</f>
        <v>0</v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>
        <f>IF(AND(T9="",T13="",T17=""),"",SUM(H3,J3,L3))</f>
        <v>3</v>
      </c>
      <c r="O3" s="135">
        <f>IF(AND(T9="",T13="",T17=""),"",SUM(I3,K3,M3))</f>
        <v>0</v>
      </c>
      <c r="P3" s="136">
        <f>IF(AND(T9="",T13="",T17=""),"",AG3)</f>
        <v>33</v>
      </c>
      <c r="Q3" s="137">
        <f>IF(AND(T9="",T13="",T17=""),"",AP3)</f>
        <v>15</v>
      </c>
      <c r="R3" s="449">
        <f>IF(ISERROR(IF(AND(T9="",T13="",T17=""),"",SUM(AB3:AD3)+(N3-O3)/1000)+(AK3/10000)),"",IF(AND(T9="",T13="",T17=""),"",SUM(AB3:AD3)+(N3-O3)/1000)+(AK3/10000)+(AG3/100000))</f>
        <v>2.0051299999999999</v>
      </c>
      <c r="S3" s="449"/>
      <c r="T3" s="138">
        <f>IF(ISERROR(IF(C3="","",RANK(R3,$R$3:$S$6,0))),"",IF(C3="","",RANK(R3,$R$3:$S$6,0)))</f>
        <v>1</v>
      </c>
      <c r="U3" s="9"/>
      <c r="V3" s="9"/>
      <c r="W3" s="7">
        <v>2</v>
      </c>
      <c r="X3" s="475" t="str">
        <f t="shared" ref="X3:X5" si="0">IF(ISERROR(INDEX($C$3:$C$6,MATCH(W3,$T$3:$T$6,0))),"",(INDEX($C$3:$C$6,MATCH(W3,$T$3:$T$6,0))))</f>
        <v>Бобан Лашкоски (17)</v>
      </c>
      <c r="Y3" s="476"/>
      <c r="Z3" s="477"/>
      <c r="AB3" s="10">
        <f>IF(H3="","",IF(H3&gt;I3,2,1))</f>
        <v>2</v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33</v>
      </c>
      <c r="AH3" s="10">
        <f>F9+H9+J9+L9+N9+P9+R9</f>
        <v>0</v>
      </c>
      <c r="AI3" s="10">
        <f>F13+H13+J13+L13+N13+P13+R13</f>
        <v>33</v>
      </c>
      <c r="AJ3" s="10">
        <f>F17+H17+J17+L17+N17+P17+R17</f>
        <v>0</v>
      </c>
      <c r="AK3" s="444">
        <f>SUM(AH3:AJ3)-SUM(AM3:AO3)</f>
        <v>18</v>
      </c>
      <c r="AL3" s="445"/>
      <c r="AM3" s="10">
        <f>AH5</f>
        <v>0</v>
      </c>
      <c r="AN3" s="10">
        <f>AI4</f>
        <v>15</v>
      </c>
      <c r="AO3" s="10">
        <f>AJ6</f>
        <v>0</v>
      </c>
      <c r="AP3" s="9">
        <f>SUM(AM3:AO3)</f>
        <v>15</v>
      </c>
    </row>
    <row r="4" spans="2:47" ht="24" customHeight="1">
      <c r="B4" s="127">
        <v>2</v>
      </c>
      <c r="C4" s="446" t="str">
        <f>IF(GROUPS!D5="","",GROUPS!D5)</f>
        <v>Бобан Лашкоски (17)</v>
      </c>
      <c r="D4" s="447"/>
      <c r="E4" s="448"/>
      <c r="F4" s="139">
        <f>U13</f>
        <v>0</v>
      </c>
      <c r="G4" s="132">
        <f>T13</f>
        <v>3</v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3</v>
      </c>
      <c r="P4" s="136">
        <f>IF(AND(T10="",U13="",U18=""),"",AG4)</f>
        <v>15</v>
      </c>
      <c r="Q4" s="137">
        <f>IF(AND(T10="",U13="",U18=""),"",AP4)</f>
        <v>33</v>
      </c>
      <c r="R4" s="449">
        <f>IF(ISERROR(IF(AND(T10="",U13="",U18=""),"",SUM(AB4:AD4)+(N4-O4)/1000)+(AK4/10000)+(AG4/100000)),"",IF(AND(T10="",U13="",U18=""),"",SUM(AB4:AD4)+(N4-O4)/1000)+(AK4/10000)+(AG4/100000))</f>
        <v>0.99534999999999996</v>
      </c>
      <c r="S4" s="449"/>
      <c r="T4" s="138">
        <f>IF(ISERROR(IF(C4="","",RANK(R4,$R$3:$S$6,0))),"",IF(C4="","",RANK(R4,$R$3:$S$6,0)))</f>
        <v>2</v>
      </c>
      <c r="U4" s="9"/>
      <c r="V4" s="9"/>
      <c r="W4" s="7">
        <v>3</v>
      </c>
      <c r="X4" s="472" t="str">
        <f t="shared" si="0"/>
        <v/>
      </c>
      <c r="Y4" s="473"/>
      <c r="Z4" s="474"/>
      <c r="AB4" s="10">
        <f>IF(F4="","",IF(F4&gt;G4,2,1))</f>
        <v>1</v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15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0</v>
      </c>
      <c r="AK4" s="444">
        <f t="shared" ref="AK4:AK6" si="2">SUM(AH4:AJ4)-SUM(AM4:AO4)</f>
        <v>-18</v>
      </c>
      <c r="AL4" s="445"/>
      <c r="AM4" s="10">
        <f>AH6</f>
        <v>0</v>
      </c>
      <c r="AN4" s="10">
        <f>AI3</f>
        <v>33</v>
      </c>
      <c r="AO4" s="10">
        <f>AJ5</f>
        <v>0</v>
      </c>
      <c r="AP4" s="9">
        <f t="shared" ref="AP4:AP6" si="3">SUM(AM4:AO4)</f>
        <v>33</v>
      </c>
    </row>
    <row r="5" spans="2:47" ht="24" customHeight="1">
      <c r="B5" s="127">
        <v>3</v>
      </c>
      <c r="C5" s="446" t="str">
        <f>IF(GROUPS!D6="","",GROUPS!D6)</f>
        <v>Даниел Ѓокановски (331)</v>
      </c>
      <c r="D5" s="447"/>
      <c r="E5" s="44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9" t="str">
        <f>IF(ISERROR(IF(AND(U9="",T14="",T18=""),"",SUM(AB5:AD5)+(N5-O5)/1000)+(AK5/10000)+(AG5/100000)),"",IF(AND(U9="",T14="",T18=""),"",SUM(AB5:AD5)+(N5-O5)/1000)+(AK5/10000)+(AG5/100000))</f>
        <v/>
      </c>
      <c r="S5" s="44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2" t="str">
        <f t="shared" si="0"/>
        <v/>
      </c>
      <c r="Y5" s="473"/>
      <c r="Z5" s="4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4">
        <f t="shared" si="2"/>
        <v>0</v>
      </c>
      <c r="AL5" s="44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0" t="str">
        <f>IF(GROUPS!D7="","",GROUPS!D7)</f>
        <v/>
      </c>
      <c r="D6" s="441"/>
      <c r="E6" s="44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48</v>
      </c>
      <c r="Q7" s="153">
        <f>SUM(Q3:Q6)</f>
        <v>48</v>
      </c>
    </row>
    <row r="8" spans="2:47" ht="19.5" thickBot="1">
      <c r="B8" s="430" t="s">
        <v>7</v>
      </c>
      <c r="C8" s="435"/>
      <c r="D8" s="435"/>
      <c r="E8" s="431"/>
      <c r="F8" s="436" t="s">
        <v>8</v>
      </c>
      <c r="G8" s="437"/>
      <c r="H8" s="433" t="s">
        <v>9</v>
      </c>
      <c r="I8" s="437"/>
      <c r="J8" s="433" t="s">
        <v>10</v>
      </c>
      <c r="K8" s="437"/>
      <c r="L8" s="433" t="s">
        <v>11</v>
      </c>
      <c r="M8" s="437"/>
      <c r="N8" s="433" t="s">
        <v>12</v>
      </c>
      <c r="O8" s="437"/>
      <c r="P8" s="433" t="s">
        <v>13</v>
      </c>
      <c r="Q8" s="437"/>
      <c r="R8" s="433" t="s">
        <v>14</v>
      </c>
      <c r="S8" s="434"/>
      <c r="T8" s="430" t="s">
        <v>15</v>
      </c>
      <c r="U8" s="431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Филип Младеновски (70)</v>
      </c>
      <c r="D9" s="156">
        <v>3</v>
      </c>
      <c r="E9" s="157" t="str">
        <f>IF(C5="","",VLOOKUP(D9,$B$3:$E$6,2,FALSE))</f>
        <v>Даниел Ѓокановски (331)</v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Бобан Лашкоски (17)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0" t="s">
        <v>16</v>
      </c>
      <c r="C12" s="435"/>
      <c r="D12" s="435"/>
      <c r="E12" s="431"/>
      <c r="F12" s="436" t="s">
        <v>8</v>
      </c>
      <c r="G12" s="437"/>
      <c r="H12" s="433" t="s">
        <v>9</v>
      </c>
      <c r="I12" s="437"/>
      <c r="J12" s="433" t="s">
        <v>10</v>
      </c>
      <c r="K12" s="437"/>
      <c r="L12" s="433" t="s">
        <v>11</v>
      </c>
      <c r="M12" s="437"/>
      <c r="N12" s="433" t="s">
        <v>12</v>
      </c>
      <c r="O12" s="437"/>
      <c r="P12" s="433" t="s">
        <v>13</v>
      </c>
      <c r="Q12" s="437"/>
      <c r="R12" s="433" t="s">
        <v>14</v>
      </c>
      <c r="S12" s="434"/>
      <c r="T12" s="430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>Филип Младеновски (70)</v>
      </c>
      <c r="D13" s="156">
        <v>2</v>
      </c>
      <c r="E13" s="157" t="str">
        <f>IF(C4="","",VLOOKUP(D13,$B$3:$E$6,2,FALSE))</f>
        <v>Бобан Лашкоски (17)</v>
      </c>
      <c r="F13" s="158">
        <v>11</v>
      </c>
      <c r="G13" s="159">
        <v>4</v>
      </c>
      <c r="H13" s="160">
        <v>11</v>
      </c>
      <c r="I13" s="159">
        <v>4</v>
      </c>
      <c r="J13" s="158">
        <v>11</v>
      </c>
      <c r="K13" s="161">
        <v>7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Даниел Ѓокановски (331)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0" t="s">
        <v>17</v>
      </c>
      <c r="C16" s="435"/>
      <c r="D16" s="435"/>
      <c r="E16" s="431"/>
      <c r="F16" s="436" t="s">
        <v>8</v>
      </c>
      <c r="G16" s="437"/>
      <c r="H16" s="433" t="s">
        <v>9</v>
      </c>
      <c r="I16" s="437"/>
      <c r="J16" s="433" t="s">
        <v>10</v>
      </c>
      <c r="K16" s="437"/>
      <c r="L16" s="433" t="s">
        <v>11</v>
      </c>
      <c r="M16" s="437"/>
      <c r="N16" s="433" t="s">
        <v>12</v>
      </c>
      <c r="O16" s="437"/>
      <c r="P16" s="433" t="s">
        <v>13</v>
      </c>
      <c r="Q16" s="437"/>
      <c r="R16" s="433" t="s">
        <v>14</v>
      </c>
      <c r="S16" s="434"/>
      <c r="T16" s="430" t="s">
        <v>15</v>
      </c>
      <c r="U16" s="431"/>
    </row>
    <row r="17" spans="2:41">
      <c r="B17" s="154">
        <v>1</v>
      </c>
      <c r="C17" s="155" t="str">
        <f>IF(C3="","",VLOOKUP(B17,$B$3:$E$6,2,FALSE))</f>
        <v>Филип Младеновски (70)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Даниел Ѓокановски (331)</v>
      </c>
      <c r="D18" s="166">
        <v>2</v>
      </c>
      <c r="E18" s="167" t="str">
        <f>IF(C4="","",VLOOKUP(D18,$B$3:$E$6,2,FALSE))</f>
        <v>Бобан Лашкоски (17)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X16" sqref="X1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8" t="s">
        <v>0</v>
      </c>
      <c r="C1" s="458"/>
      <c r="D1" s="458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9" t="s">
        <v>1</v>
      </c>
      <c r="R1" s="459"/>
      <c r="S1" s="459"/>
      <c r="T1" s="459"/>
      <c r="U1" s="45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1"/>
      <c r="E2" s="462"/>
      <c r="F2" s="463">
        <v>1</v>
      </c>
      <c r="G2" s="464"/>
      <c r="H2" s="465">
        <v>2</v>
      </c>
      <c r="I2" s="464"/>
      <c r="J2" s="465">
        <v>3</v>
      </c>
      <c r="K2" s="464"/>
      <c r="L2" s="465">
        <v>4</v>
      </c>
      <c r="M2" s="466"/>
      <c r="N2" s="467" t="s">
        <v>4</v>
      </c>
      <c r="O2" s="468"/>
      <c r="P2" s="469" t="s">
        <v>84</v>
      </c>
      <c r="Q2" s="470"/>
      <c r="R2" s="471" t="s">
        <v>5</v>
      </c>
      <c r="S2" s="471"/>
      <c r="T2" s="126" t="s">
        <v>6</v>
      </c>
      <c r="W2" s="7">
        <v>1</v>
      </c>
      <c r="X2" s="453" t="str">
        <f>IF(ISERROR(INDEX($C$3:$C$6,MATCH(W2,$T$3:$T$6,0))),"",(INDEX($C$3:$C$6,MATCH(W2,$T$3:$T$6,0))))</f>
        <v>Петар Костовски (12)</v>
      </c>
      <c r="Y2" s="454"/>
      <c r="Z2" s="455"/>
      <c r="AB2" s="456" t="s">
        <v>85</v>
      </c>
      <c r="AC2" s="456"/>
      <c r="AD2" s="456"/>
      <c r="AE2" s="456"/>
      <c r="AG2" s="6" t="s">
        <v>86</v>
      </c>
      <c r="AK2" s="457" t="s">
        <v>87</v>
      </c>
      <c r="AL2" s="457"/>
      <c r="AP2" s="6" t="s">
        <v>88</v>
      </c>
    </row>
    <row r="3" spans="2:47" ht="24" customHeight="1">
      <c r="B3" s="127">
        <v>1</v>
      </c>
      <c r="C3" s="446" t="str">
        <f>IF(GROUPS!F4="","",GROUPS!F4)</f>
        <v>Петар Костовски (12)</v>
      </c>
      <c r="D3" s="447"/>
      <c r="E3" s="448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1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74</v>
      </c>
      <c r="Q3" s="137">
        <f>IF(AND(T9="",T13="",T17=""),"",AP3)</f>
        <v>33</v>
      </c>
      <c r="R3" s="449">
        <f>IF(ISERROR(IF(AND(T9="",T13="",T17=""),"",SUM(AB3:AD3)+(N3-O3)/1000)+(AK3/10000)),"",IF(AND(T9="",T13="",T17=""),"",SUM(AB3:AD3)+(N3-O3)/1000)+(AK3/10000)+(AG3/100000))</f>
        <v>4.0098400000000005</v>
      </c>
      <c r="S3" s="449"/>
      <c r="T3" s="138">
        <f>IF(ISERROR(IF(C3="","",RANK(R3,$R$3:$S$6,0))),"",IF(C3="","",RANK(R3,$R$3:$S$6,0)))</f>
        <v>1</v>
      </c>
      <c r="U3" s="9"/>
      <c r="V3" s="9"/>
      <c r="W3" s="7">
        <v>2</v>
      </c>
      <c r="X3" s="453" t="str">
        <f t="shared" ref="X3:X5" si="0">IF(ISERROR(INDEX($C$3:$C$6,MATCH(W3,$T$3:$T$6,0))),"",(INDEX($C$3:$C$6,MATCH(W3,$T$3:$T$6,0))))</f>
        <v>Роберт Михајловски (58)</v>
      </c>
      <c r="Y3" s="454"/>
      <c r="Z3" s="45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74</v>
      </c>
      <c r="AH3" s="10">
        <f>F9+H9+J9+L9+N9+P9+R9</f>
        <v>41</v>
      </c>
      <c r="AI3" s="10">
        <f>F13+H13+J13+L13+N13+P13+R13</f>
        <v>33</v>
      </c>
      <c r="AJ3" s="10">
        <f>F17+H17+J17+L17+N17+P17+R17</f>
        <v>0</v>
      </c>
      <c r="AK3" s="444">
        <f>SUM(AH3:AJ3)-SUM(AM3:AO3)</f>
        <v>41</v>
      </c>
      <c r="AL3" s="445"/>
      <c r="AM3" s="10">
        <f>AH5</f>
        <v>20</v>
      </c>
      <c r="AN3" s="10">
        <f>AI4</f>
        <v>13</v>
      </c>
      <c r="AO3" s="10">
        <f>AJ6</f>
        <v>0</v>
      </c>
      <c r="AP3" s="9">
        <f>SUM(AM3:AO3)</f>
        <v>33</v>
      </c>
    </row>
    <row r="4" spans="2:47" ht="24" customHeight="1">
      <c r="B4" s="127">
        <v>2</v>
      </c>
      <c r="C4" s="446" t="str">
        <f>IF(GROUPS!F5="","",GROUPS!F5)</f>
        <v>Роберт Михајловски (58)</v>
      </c>
      <c r="D4" s="447"/>
      <c r="E4" s="448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4</v>
      </c>
      <c r="P4" s="136">
        <f>IF(AND(T10="",U13="",U18=""),"",AG4)</f>
        <v>60</v>
      </c>
      <c r="Q4" s="137">
        <f>IF(AND(T10="",U13="",U18=""),"",AP4)</f>
        <v>75</v>
      </c>
      <c r="R4" s="449">
        <f>IF(ISERROR(IF(AND(T10="",U13="",U18=""),"",SUM(AB4:AD4)+(N4-O4)/1000)+(AK4/10000)+(AG4/100000)),"",IF(AND(T10="",U13="",U18=""),"",SUM(AB4:AD4)+(N4-O4)/1000)+(AK4/10000)+(AG4/100000))</f>
        <v>2.9981</v>
      </c>
      <c r="S4" s="449"/>
      <c r="T4" s="138">
        <f>IF(ISERROR(IF(C4="","",RANK(R4,$R$3:$S$6,0))),"",IF(C4="","",RANK(R4,$R$3:$S$6,0)))</f>
        <v>2</v>
      </c>
      <c r="U4" s="9"/>
      <c r="V4" s="9"/>
      <c r="W4" s="7">
        <v>3</v>
      </c>
      <c r="X4" s="450" t="str">
        <f t="shared" si="0"/>
        <v>Филип Koстадиновски  (96)</v>
      </c>
      <c r="Y4" s="451"/>
      <c r="Z4" s="452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60</v>
      </c>
      <c r="AH4" s="10">
        <f>F10+H10+J10+L10+N10+P10+R10</f>
        <v>0</v>
      </c>
      <c r="AI4" s="10">
        <f>G13+I13+K13+M13+O13+Q13+S13</f>
        <v>13</v>
      </c>
      <c r="AJ4" s="10">
        <f>G18+I18+K18+M18+O18+Q18+S18</f>
        <v>47</v>
      </c>
      <c r="AK4" s="444">
        <f t="shared" ref="AK4:AK6" si="2">SUM(AH4:AJ4)-SUM(AM4:AO4)</f>
        <v>-15</v>
      </c>
      <c r="AL4" s="445"/>
      <c r="AM4" s="10">
        <f>AH6</f>
        <v>0</v>
      </c>
      <c r="AN4" s="10">
        <f>AI3</f>
        <v>33</v>
      </c>
      <c r="AO4" s="10">
        <f>AJ5</f>
        <v>42</v>
      </c>
      <c r="AP4" s="9">
        <f t="shared" ref="AP4:AP6" si="3">SUM(AM4:AO4)</f>
        <v>75</v>
      </c>
    </row>
    <row r="5" spans="2:47" ht="24" customHeight="1">
      <c r="B5" s="127">
        <v>3</v>
      </c>
      <c r="C5" s="446" t="str">
        <f>IF(GROUPS!F6="","",GROUPS!F6)</f>
        <v>Филип Koстадиновски  (96)</v>
      </c>
      <c r="D5" s="447"/>
      <c r="E5" s="448"/>
      <c r="F5" s="139">
        <f>U9</f>
        <v>1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2</v>
      </c>
      <c r="O5" s="135">
        <f>IF(AND(U9="",T14="",T18=""),"",SUM(G5,I5,M5))</f>
        <v>6</v>
      </c>
      <c r="P5" s="136">
        <f>IF(AND(U9="",T14="",T18=""),"",AG5)</f>
        <v>62</v>
      </c>
      <c r="Q5" s="137">
        <f>IF(AND(U9="",T14="",T18=""),"",AP5)</f>
        <v>88</v>
      </c>
      <c r="R5" s="449">
        <f>IF(ISERROR(IF(AND(U9="",T14="",T18=""),"",SUM(AB5:AD5)+(N5-O5)/1000)+(AK5/10000)+(AG5/100000)),"",IF(AND(U9="",T14="",T18=""),"",SUM(AB5:AD5)+(N5-O5)/1000)+(AK5/10000)+(AG5/100000))</f>
        <v>1.9940200000000001</v>
      </c>
      <c r="S5" s="449"/>
      <c r="T5" s="138">
        <f>IF(ISERROR(IF(C5="","",RANK(R5,$R$3:$S$6,0))),"",IF(C5="","",RANK(R5,$R$3:$S$6,0)))</f>
        <v>3</v>
      </c>
      <c r="U5" s="9"/>
      <c r="V5" s="9"/>
      <c r="W5" s="7">
        <v>4</v>
      </c>
      <c r="X5" s="450" t="str">
        <f t="shared" si="0"/>
        <v/>
      </c>
      <c r="Y5" s="451"/>
      <c r="Z5" s="45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62</v>
      </c>
      <c r="AH5" s="10">
        <f>G9+I9+K9+M9+O9+Q9+S9</f>
        <v>20</v>
      </c>
      <c r="AI5" s="10">
        <f>F14+H14+J14+L14+N14+P14+R14</f>
        <v>0</v>
      </c>
      <c r="AJ5" s="10">
        <f>F18+H18+J18+L18+N18+P18+R18</f>
        <v>42</v>
      </c>
      <c r="AK5" s="444">
        <f t="shared" si="2"/>
        <v>-26</v>
      </c>
      <c r="AL5" s="445"/>
      <c r="AM5" s="10">
        <f>AH3</f>
        <v>41</v>
      </c>
      <c r="AN5" s="10">
        <f>AI6</f>
        <v>0</v>
      </c>
      <c r="AO5" s="10">
        <f>AJ4</f>
        <v>47</v>
      </c>
      <c r="AP5" s="9">
        <f t="shared" si="3"/>
        <v>88</v>
      </c>
    </row>
    <row r="6" spans="2:47" ht="24" customHeight="1" thickBot="1">
      <c r="B6" s="142">
        <v>4</v>
      </c>
      <c r="C6" s="440" t="str">
        <f>IF(GROUPS!F7="","",GROUPS!F7)</f>
        <v/>
      </c>
      <c r="D6" s="441"/>
      <c r="E6" s="44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196</v>
      </c>
      <c r="Q7" s="153">
        <f>SUM(Q3:Q6)</f>
        <v>196</v>
      </c>
    </row>
    <row r="8" spans="2:47" ht="19.5" thickBot="1">
      <c r="B8" s="430" t="s">
        <v>7</v>
      </c>
      <c r="C8" s="435"/>
      <c r="D8" s="435"/>
      <c r="E8" s="431"/>
      <c r="F8" s="436" t="s">
        <v>8</v>
      </c>
      <c r="G8" s="437"/>
      <c r="H8" s="433" t="s">
        <v>9</v>
      </c>
      <c r="I8" s="437"/>
      <c r="J8" s="433" t="s">
        <v>10</v>
      </c>
      <c r="K8" s="437"/>
      <c r="L8" s="433" t="s">
        <v>11</v>
      </c>
      <c r="M8" s="437"/>
      <c r="N8" s="433" t="s">
        <v>12</v>
      </c>
      <c r="O8" s="437"/>
      <c r="P8" s="433" t="s">
        <v>13</v>
      </c>
      <c r="Q8" s="437"/>
      <c r="R8" s="433" t="s">
        <v>14</v>
      </c>
      <c r="S8" s="434"/>
      <c r="T8" s="430" t="s">
        <v>15</v>
      </c>
      <c r="U8" s="431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Петар Костовски (12)</v>
      </c>
      <c r="D9" s="156">
        <v>3</v>
      </c>
      <c r="E9" s="157" t="str">
        <f>IF(C5="","",VLOOKUP(D9,$B$3:$E$6,2,FALSE))</f>
        <v>Филип Koстадиновски  (96)</v>
      </c>
      <c r="F9" s="158">
        <v>11</v>
      </c>
      <c r="G9" s="159">
        <v>2</v>
      </c>
      <c r="H9" s="160">
        <v>8</v>
      </c>
      <c r="I9" s="159">
        <v>11</v>
      </c>
      <c r="J9" s="158">
        <v>11</v>
      </c>
      <c r="K9" s="161">
        <v>4</v>
      </c>
      <c r="L9" s="160">
        <v>11</v>
      </c>
      <c r="M9" s="159">
        <v>3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Роберт Михајловски (58)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0" t="s">
        <v>16</v>
      </c>
      <c r="C12" s="435"/>
      <c r="D12" s="435"/>
      <c r="E12" s="431"/>
      <c r="F12" s="436" t="s">
        <v>8</v>
      </c>
      <c r="G12" s="437"/>
      <c r="H12" s="433" t="s">
        <v>9</v>
      </c>
      <c r="I12" s="437"/>
      <c r="J12" s="433" t="s">
        <v>10</v>
      </c>
      <c r="K12" s="437"/>
      <c r="L12" s="433" t="s">
        <v>11</v>
      </c>
      <c r="M12" s="437"/>
      <c r="N12" s="433" t="s">
        <v>12</v>
      </c>
      <c r="O12" s="437"/>
      <c r="P12" s="433" t="s">
        <v>13</v>
      </c>
      <c r="Q12" s="437"/>
      <c r="R12" s="433" t="s">
        <v>14</v>
      </c>
      <c r="S12" s="434"/>
      <c r="T12" s="430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>Петар Костовски (12)</v>
      </c>
      <c r="D13" s="156">
        <v>2</v>
      </c>
      <c r="E13" s="157" t="str">
        <f>IF(C4="","",VLOOKUP(D13,$B$3:$E$6,2,FALSE))</f>
        <v>Роберт Михајловски (58)</v>
      </c>
      <c r="F13" s="158">
        <v>11</v>
      </c>
      <c r="G13" s="159">
        <v>7</v>
      </c>
      <c r="H13" s="160">
        <v>11</v>
      </c>
      <c r="I13" s="159">
        <v>2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Филип Koстадиновски  (96)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0" t="s">
        <v>17</v>
      </c>
      <c r="C16" s="435"/>
      <c r="D16" s="435"/>
      <c r="E16" s="431"/>
      <c r="F16" s="436" t="s">
        <v>8</v>
      </c>
      <c r="G16" s="437"/>
      <c r="H16" s="433" t="s">
        <v>9</v>
      </c>
      <c r="I16" s="437"/>
      <c r="J16" s="433" t="s">
        <v>10</v>
      </c>
      <c r="K16" s="437"/>
      <c r="L16" s="433" t="s">
        <v>11</v>
      </c>
      <c r="M16" s="437"/>
      <c r="N16" s="433" t="s">
        <v>12</v>
      </c>
      <c r="O16" s="437"/>
      <c r="P16" s="433" t="s">
        <v>13</v>
      </c>
      <c r="Q16" s="437"/>
      <c r="R16" s="433" t="s">
        <v>14</v>
      </c>
      <c r="S16" s="434"/>
      <c r="T16" s="430" t="s">
        <v>15</v>
      </c>
      <c r="U16" s="431"/>
    </row>
    <row r="17" spans="2:41">
      <c r="B17" s="154">
        <v>1</v>
      </c>
      <c r="C17" s="155" t="str">
        <f>IF(C3="","",VLOOKUP(B17,$B$3:$E$6,2,FALSE))</f>
        <v>Петар Костовски (12)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Филип Koстадиновски  (96)</v>
      </c>
      <c r="D18" s="166">
        <v>2</v>
      </c>
      <c r="E18" s="167" t="str">
        <f>IF(C4="","",VLOOKUP(D18,$B$3:$E$6,2,FALSE))</f>
        <v>Роберт Михајловски (58)</v>
      </c>
      <c r="F18" s="168">
        <v>11</v>
      </c>
      <c r="G18" s="169">
        <v>13</v>
      </c>
      <c r="H18" s="170">
        <v>7</v>
      </c>
      <c r="I18" s="169">
        <v>11</v>
      </c>
      <c r="J18" s="168">
        <v>11</v>
      </c>
      <c r="K18" s="171">
        <v>8</v>
      </c>
      <c r="L18" s="170">
        <v>13</v>
      </c>
      <c r="M18" s="169">
        <v>15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Y8" sqref="Y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8" t="s">
        <v>0</v>
      </c>
      <c r="C1" s="458"/>
      <c r="D1" s="458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9" t="s">
        <v>1</v>
      </c>
      <c r="R1" s="459"/>
      <c r="S1" s="459"/>
      <c r="T1" s="459"/>
      <c r="U1" s="45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1"/>
      <c r="E2" s="462"/>
      <c r="F2" s="463">
        <v>1</v>
      </c>
      <c r="G2" s="464"/>
      <c r="H2" s="465">
        <v>2</v>
      </c>
      <c r="I2" s="464"/>
      <c r="J2" s="465">
        <v>3</v>
      </c>
      <c r="K2" s="464"/>
      <c r="L2" s="465">
        <v>4</v>
      </c>
      <c r="M2" s="466"/>
      <c r="N2" s="467" t="s">
        <v>4</v>
      </c>
      <c r="O2" s="468"/>
      <c r="P2" s="469" t="s">
        <v>84</v>
      </c>
      <c r="Q2" s="470"/>
      <c r="R2" s="471" t="s">
        <v>5</v>
      </c>
      <c r="S2" s="471"/>
      <c r="T2" s="126" t="s">
        <v>6</v>
      </c>
      <c r="W2" s="7">
        <v>1</v>
      </c>
      <c r="X2" s="453" t="str">
        <f>IF(ISERROR(INDEX($C$3:$C$6,MATCH(W2,$T$3:$T$6,0))),"",(INDEX($C$3:$C$6,MATCH(W2,$T$3:$T$6,0))))</f>
        <v>Кристијан Станојковски (10)</v>
      </c>
      <c r="Y2" s="454"/>
      <c r="Z2" s="455"/>
      <c r="AB2" s="456" t="s">
        <v>85</v>
      </c>
      <c r="AC2" s="456"/>
      <c r="AD2" s="456"/>
      <c r="AE2" s="456"/>
      <c r="AG2" s="6" t="s">
        <v>86</v>
      </c>
      <c r="AK2" s="457" t="s">
        <v>87</v>
      </c>
      <c r="AL2" s="457"/>
      <c r="AP2" s="6" t="s">
        <v>88</v>
      </c>
    </row>
    <row r="3" spans="2:47" ht="24" customHeight="1">
      <c r="B3" s="127">
        <v>1</v>
      </c>
      <c r="C3" s="446" t="str">
        <f>IF(GROUPS!H4="","",GROUPS!H4)</f>
        <v>Кристијан Станојковски (10)</v>
      </c>
      <c r="D3" s="447"/>
      <c r="E3" s="448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30</v>
      </c>
      <c r="R3" s="449">
        <f>IF(ISERROR(IF(AND(T9="",T13="",T17=""),"",SUM(AB3:AD3)+(N3-O3)/1000)+(AK3/10000)),"",IF(AND(T9="",T13="",T17=""),"",SUM(AB3:AD3)+(N3-O3)/1000)+(AK3/10000)+(AG3/100000))</f>
        <v>4.0102599999999997</v>
      </c>
      <c r="S3" s="449"/>
      <c r="T3" s="138">
        <f>IF(ISERROR(IF(C3="","",RANK(R3,$R$3:$S$6,0))),"",IF(C3="","",RANK(R3,$R$3:$S$6,0)))</f>
        <v>1</v>
      </c>
      <c r="U3" s="9"/>
      <c r="V3" s="9"/>
      <c r="W3" s="7">
        <v>2</v>
      </c>
      <c r="X3" s="453" t="str">
        <f t="shared" ref="X3:X5" si="0">IF(ISERROR(INDEX($C$3:$C$6,MATCH(W3,$T$3:$T$6,0))),"",(INDEX($C$3:$C$6,MATCH(W3,$T$3:$T$6,0))))</f>
        <v>Мартин Калески (122)</v>
      </c>
      <c r="Y3" s="454"/>
      <c r="Z3" s="45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44">
        <f>SUM(AH3:AJ3)-SUM(AM3:AO3)</f>
        <v>36</v>
      </c>
      <c r="AL3" s="445"/>
      <c r="AM3" s="10">
        <f>AH5</f>
        <v>13</v>
      </c>
      <c r="AN3" s="10">
        <f>AI4</f>
        <v>17</v>
      </c>
      <c r="AO3" s="10">
        <f>AJ6</f>
        <v>0</v>
      </c>
      <c r="AP3" s="9">
        <f>SUM(AM3:AO3)</f>
        <v>30</v>
      </c>
    </row>
    <row r="4" spans="2:47" ht="24" customHeight="1">
      <c r="B4" s="127">
        <v>2</v>
      </c>
      <c r="C4" s="446" t="str">
        <f>IF(GROUPS!H5="","",GROUPS!H5)</f>
        <v>Антонио Аврамски (144)</v>
      </c>
      <c r="D4" s="447"/>
      <c r="E4" s="448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30</v>
      </c>
      <c r="Q4" s="137">
        <f>IF(AND(T10="",U13="",U18=""),"",AP4)</f>
        <v>66</v>
      </c>
      <c r="R4" s="449">
        <f>IF(ISERROR(IF(AND(T10="",U13="",U18=""),"",SUM(AB4:AD4)+(N4-O4)/1000)+(AK4/10000)+(AG4/100000)),"",IF(AND(T10="",U13="",U18=""),"",SUM(AB4:AD4)+(N4-O4)/1000)+(AK4/10000)+(AG4/100000))</f>
        <v>1.9906999999999999</v>
      </c>
      <c r="S4" s="449"/>
      <c r="T4" s="138">
        <f>IF(ISERROR(IF(C4="","",RANK(R4,$R$3:$S$6,0))),"",IF(C4="","",RANK(R4,$R$3:$S$6,0)))</f>
        <v>3</v>
      </c>
      <c r="U4" s="9"/>
      <c r="V4" s="9"/>
      <c r="W4" s="7">
        <v>3</v>
      </c>
      <c r="X4" s="450" t="str">
        <f t="shared" si="0"/>
        <v>Антонио Аврамски (144)</v>
      </c>
      <c r="Y4" s="451"/>
      <c r="Z4" s="452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30</v>
      </c>
      <c r="AH4" s="10">
        <f>F10+H10+J10+L10+N10+P10+R10</f>
        <v>0</v>
      </c>
      <c r="AI4" s="10">
        <f>G13+I13+K13+M13+O13+Q13+S13</f>
        <v>17</v>
      </c>
      <c r="AJ4" s="10">
        <f>G18+I18+K18+M18+O18+Q18+S18</f>
        <v>13</v>
      </c>
      <c r="AK4" s="444">
        <f t="shared" ref="AK4:AK6" si="2">SUM(AH4:AJ4)-SUM(AM4:AO4)</f>
        <v>-36</v>
      </c>
      <c r="AL4" s="445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127">
        <v>3</v>
      </c>
      <c r="C5" s="446" t="str">
        <f>IF(GROUPS!H6="","",GROUPS!H6)</f>
        <v>Мартин Калески (122)</v>
      </c>
      <c r="D5" s="447"/>
      <c r="E5" s="448"/>
      <c r="F5" s="139">
        <f>U9</f>
        <v>0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3</v>
      </c>
      <c r="P5" s="136">
        <f>IF(AND(U9="",T14="",T18=""),"",AG5)</f>
        <v>46</v>
      </c>
      <c r="Q5" s="137">
        <f>IF(AND(U9="",T14="",T18=""),"",AP5)</f>
        <v>46</v>
      </c>
      <c r="R5" s="449">
        <f>IF(ISERROR(IF(AND(U9="",T14="",T18=""),"",SUM(AB5:AD5)+(N5-O5)/1000)+(AK5/10000)+(AG5/100000)),"",IF(AND(U9="",T14="",T18=""),"",SUM(AB5:AD5)+(N5-O5)/1000)+(AK5/10000)+(AG5/100000))</f>
        <v>3.0004599999999999</v>
      </c>
      <c r="S5" s="449"/>
      <c r="T5" s="138">
        <f>IF(ISERROR(IF(C5="","",RANK(R5,$R$3:$S$6,0))),"",IF(C5="","",RANK(R5,$R$3:$S$6,0)))</f>
        <v>2</v>
      </c>
      <c r="U5" s="9"/>
      <c r="V5" s="9"/>
      <c r="W5" s="7">
        <v>4</v>
      </c>
      <c r="X5" s="450" t="str">
        <f t="shared" si="0"/>
        <v/>
      </c>
      <c r="Y5" s="451"/>
      <c r="Z5" s="452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46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33</v>
      </c>
      <c r="AK5" s="444">
        <f t="shared" si="2"/>
        <v>0</v>
      </c>
      <c r="AL5" s="445"/>
      <c r="AM5" s="10">
        <f>AH3</f>
        <v>33</v>
      </c>
      <c r="AN5" s="10">
        <f>AI6</f>
        <v>0</v>
      </c>
      <c r="AO5" s="10">
        <f>AJ4</f>
        <v>13</v>
      </c>
      <c r="AP5" s="9">
        <f t="shared" si="3"/>
        <v>46</v>
      </c>
    </row>
    <row r="6" spans="2:47" ht="24" customHeight="1" thickBot="1">
      <c r="B6" s="142">
        <v>4</v>
      </c>
      <c r="C6" s="440" t="str">
        <f>IF(GROUPS!H7="","",GROUPS!H7)</f>
        <v/>
      </c>
      <c r="D6" s="441"/>
      <c r="E6" s="44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142</v>
      </c>
      <c r="Q7" s="153">
        <f>SUM(Q3:Q6)</f>
        <v>142</v>
      </c>
    </row>
    <row r="8" spans="2:47" ht="19.5" thickBot="1">
      <c r="B8" s="430" t="s">
        <v>7</v>
      </c>
      <c r="C8" s="435"/>
      <c r="D8" s="435"/>
      <c r="E8" s="431"/>
      <c r="F8" s="436" t="s">
        <v>8</v>
      </c>
      <c r="G8" s="437"/>
      <c r="H8" s="433" t="s">
        <v>9</v>
      </c>
      <c r="I8" s="437"/>
      <c r="J8" s="433" t="s">
        <v>10</v>
      </c>
      <c r="K8" s="437"/>
      <c r="L8" s="433" t="s">
        <v>11</v>
      </c>
      <c r="M8" s="437"/>
      <c r="N8" s="433" t="s">
        <v>12</v>
      </c>
      <c r="O8" s="437"/>
      <c r="P8" s="433" t="s">
        <v>13</v>
      </c>
      <c r="Q8" s="437"/>
      <c r="R8" s="433" t="s">
        <v>14</v>
      </c>
      <c r="S8" s="434"/>
      <c r="T8" s="430" t="s">
        <v>15</v>
      </c>
      <c r="U8" s="431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Кристијан Станојковски (10)</v>
      </c>
      <c r="D9" s="156">
        <v>3</v>
      </c>
      <c r="E9" s="157" t="str">
        <f>IF(C5="","",VLOOKUP(D9,$B$3:$E$6,2,FALSE))</f>
        <v>Мартин Калески (122)</v>
      </c>
      <c r="F9" s="158">
        <v>11</v>
      </c>
      <c r="G9" s="159">
        <v>3</v>
      </c>
      <c r="H9" s="160">
        <v>11</v>
      </c>
      <c r="I9" s="159">
        <v>5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Антонио Аврамски (144)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0" t="s">
        <v>16</v>
      </c>
      <c r="C12" s="435"/>
      <c r="D12" s="435"/>
      <c r="E12" s="431"/>
      <c r="F12" s="436" t="s">
        <v>8</v>
      </c>
      <c r="G12" s="437"/>
      <c r="H12" s="433" t="s">
        <v>9</v>
      </c>
      <c r="I12" s="437"/>
      <c r="J12" s="433" t="s">
        <v>10</v>
      </c>
      <c r="K12" s="437"/>
      <c r="L12" s="433" t="s">
        <v>11</v>
      </c>
      <c r="M12" s="437"/>
      <c r="N12" s="433" t="s">
        <v>12</v>
      </c>
      <c r="O12" s="437"/>
      <c r="P12" s="433" t="s">
        <v>13</v>
      </c>
      <c r="Q12" s="437"/>
      <c r="R12" s="433" t="s">
        <v>14</v>
      </c>
      <c r="S12" s="434"/>
      <c r="T12" s="430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>Кристијан Станојковски (10)</v>
      </c>
      <c r="D13" s="156">
        <v>2</v>
      </c>
      <c r="E13" s="157" t="str">
        <f>IF(C4="","",VLOOKUP(D13,$B$3:$E$6,2,FALSE))</f>
        <v>Антонио Аврамски (144)</v>
      </c>
      <c r="F13" s="158">
        <v>11</v>
      </c>
      <c r="G13" s="159">
        <v>5</v>
      </c>
      <c r="H13" s="160">
        <v>11</v>
      </c>
      <c r="I13" s="159">
        <v>6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Мартин Калески (122)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0" t="s">
        <v>17</v>
      </c>
      <c r="C16" s="435"/>
      <c r="D16" s="435"/>
      <c r="E16" s="431"/>
      <c r="F16" s="436" t="s">
        <v>8</v>
      </c>
      <c r="G16" s="437"/>
      <c r="H16" s="433" t="s">
        <v>9</v>
      </c>
      <c r="I16" s="437"/>
      <c r="J16" s="433" t="s">
        <v>10</v>
      </c>
      <c r="K16" s="437"/>
      <c r="L16" s="433" t="s">
        <v>11</v>
      </c>
      <c r="M16" s="437"/>
      <c r="N16" s="433" t="s">
        <v>12</v>
      </c>
      <c r="O16" s="437"/>
      <c r="P16" s="433" t="s">
        <v>13</v>
      </c>
      <c r="Q16" s="437"/>
      <c r="R16" s="433" t="s">
        <v>14</v>
      </c>
      <c r="S16" s="434"/>
      <c r="T16" s="430" t="s">
        <v>15</v>
      </c>
      <c r="U16" s="431"/>
    </row>
    <row r="17" spans="2:41">
      <c r="B17" s="154">
        <v>1</v>
      </c>
      <c r="C17" s="155" t="str">
        <f>IF(C3="","",VLOOKUP(B17,$B$3:$E$6,2,FALSE))</f>
        <v>Кристијан Станојковски (10)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Мартин Калески (122)</v>
      </c>
      <c r="D18" s="166">
        <v>2</v>
      </c>
      <c r="E18" s="167" t="str">
        <f>IF(C4="","",VLOOKUP(D18,$B$3:$E$6,2,FALSE))</f>
        <v>Антонио Аврамски (144)</v>
      </c>
      <c r="F18" s="168">
        <v>11</v>
      </c>
      <c r="G18" s="169">
        <v>8</v>
      </c>
      <c r="H18" s="170">
        <v>11</v>
      </c>
      <c r="I18" s="169">
        <v>2</v>
      </c>
      <c r="J18" s="168">
        <v>11</v>
      </c>
      <c r="K18" s="171">
        <v>3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Z18" sqref="Z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9" t="s">
        <v>1</v>
      </c>
      <c r="R1" s="459"/>
      <c r="S1" s="459"/>
      <c r="T1" s="459"/>
      <c r="U1" s="45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81" t="s">
        <v>3</v>
      </c>
      <c r="D2" s="481"/>
      <c r="E2" s="482"/>
      <c r="F2" s="466">
        <v>1</v>
      </c>
      <c r="G2" s="464"/>
      <c r="H2" s="465">
        <v>2</v>
      </c>
      <c r="I2" s="464"/>
      <c r="J2" s="465">
        <v>3</v>
      </c>
      <c r="K2" s="464"/>
      <c r="L2" s="465">
        <v>4</v>
      </c>
      <c r="M2" s="466"/>
      <c r="N2" s="467" t="s">
        <v>4</v>
      </c>
      <c r="O2" s="468"/>
      <c r="P2" s="469" t="s">
        <v>84</v>
      </c>
      <c r="Q2" s="470"/>
      <c r="R2" s="471" t="s">
        <v>5</v>
      </c>
      <c r="S2" s="471"/>
      <c r="T2" s="126" t="s">
        <v>6</v>
      </c>
      <c r="W2" s="7">
        <v>1</v>
      </c>
      <c r="X2" s="453" t="str">
        <f>IF(ISERROR(INDEX($C$3:$C$6,MATCH(W2,$T$3:$T$6,0))),"",(INDEX($C$3:$C$6,MATCH(W2,$T$3:$T$6,0))))</f>
        <v>Дамјан Стојчев (72)</v>
      </c>
      <c r="Y2" s="454"/>
      <c r="Z2" s="455"/>
      <c r="AB2" s="456" t="s">
        <v>85</v>
      </c>
      <c r="AC2" s="456"/>
      <c r="AD2" s="456"/>
      <c r="AE2" s="456"/>
      <c r="AG2" s="6" t="s">
        <v>86</v>
      </c>
      <c r="AK2" s="457" t="s">
        <v>87</v>
      </c>
      <c r="AL2" s="457"/>
      <c r="AP2" s="6" t="s">
        <v>88</v>
      </c>
    </row>
    <row r="3" spans="2:47" ht="24" customHeight="1">
      <c r="B3" s="234">
        <v>1</v>
      </c>
      <c r="C3" s="478" t="str">
        <f>IF(GROUPS!J4="","",GROUPS!J4)</f>
        <v>Дамјан Стојчев (72)</v>
      </c>
      <c r="D3" s="478"/>
      <c r="E3" s="479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68</v>
      </c>
      <c r="Q3" s="137">
        <f>IF(AND(T9="",T13="",T17=""),"",AP3)</f>
        <v>26</v>
      </c>
      <c r="R3" s="449">
        <f>IF(ISERROR(IF(AND(T9="",T13="",T17=""),"",SUM(AB3:AD3)+(N3-O3)/1000)+(AK3/10000)),"",IF(AND(T9="",T13="",T17=""),"",SUM(AB3:AD3)+(N3-O3)/1000)+(AK3/10000)+(AG3/100000))</f>
        <v>4.0108800000000002</v>
      </c>
      <c r="S3" s="449"/>
      <c r="T3" s="138">
        <f>IF(ISERROR(IF(C3="","",RANK(R3,$R$3:$S$6,0))),"",IF(C3="","",RANK(R3,$R$3:$S$6,0)))</f>
        <v>1</v>
      </c>
      <c r="U3" s="9"/>
      <c r="V3" s="9"/>
      <c r="W3" s="7">
        <v>2</v>
      </c>
      <c r="X3" s="453" t="str">
        <f t="shared" ref="X3:X5" si="0">IF(ISERROR(INDEX($C$3:$C$6,MATCH(W3,$T$3:$T$6,0))),"",(INDEX($C$3:$C$6,MATCH(W3,$T$3:$T$6,0))))</f>
        <v>Кристијан Каламадевски (347)</v>
      </c>
      <c r="Y3" s="454"/>
      <c r="Z3" s="45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68</v>
      </c>
      <c r="AH3" s="10">
        <f>F9+H9+J9+L9+N9+P9+R9</f>
        <v>33</v>
      </c>
      <c r="AI3" s="10">
        <f>F13+H13+J13+L13+N13+P13+R13</f>
        <v>35</v>
      </c>
      <c r="AJ3" s="10">
        <f>F17+H17+J17+L17+N17+P17+R17</f>
        <v>0</v>
      </c>
      <c r="AK3" s="444">
        <f>SUM(AH3:AJ3)-SUM(AM3:AO3)</f>
        <v>42</v>
      </c>
      <c r="AL3" s="445"/>
      <c r="AM3" s="10">
        <f>AH5</f>
        <v>6</v>
      </c>
      <c r="AN3" s="10">
        <f>AI4</f>
        <v>20</v>
      </c>
      <c r="AO3" s="10">
        <f>AJ6</f>
        <v>0</v>
      </c>
      <c r="AP3" s="9">
        <f>SUM(AM3:AO3)</f>
        <v>26</v>
      </c>
    </row>
    <row r="4" spans="2:47" ht="24" customHeight="1">
      <c r="B4" s="234">
        <v>2</v>
      </c>
      <c r="C4" s="478" t="str">
        <f>IF(GROUPS!J5="","",GROUPS!J5)</f>
        <v>Кристијан Каламадевски (347)</v>
      </c>
      <c r="D4" s="478"/>
      <c r="E4" s="479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53</v>
      </c>
      <c r="Q4" s="137">
        <f>IF(AND(T10="",U13="",U18=""),"",AP4)</f>
        <v>57</v>
      </c>
      <c r="R4" s="449">
        <f>IF(ISERROR(IF(AND(T10="",U13="",U18=""),"",SUM(AB4:AD4)+(N4-O4)/1000)+(AK4/10000)+(AG4/100000)),"",IF(AND(T10="",U13="",U18=""),"",SUM(AB4:AD4)+(N4-O4)/1000)+(AK4/10000)+(AG4/100000))</f>
        <v>3.00013</v>
      </c>
      <c r="S4" s="449"/>
      <c r="T4" s="138">
        <f>IF(ISERROR(IF(C4="","",RANK(R4,$R$3:$S$6,0))),"",IF(C4="","",RANK(R4,$R$3:$S$6,0)))</f>
        <v>2</v>
      </c>
      <c r="U4" s="9"/>
      <c r="V4" s="9"/>
      <c r="W4" s="7">
        <v>3</v>
      </c>
      <c r="X4" s="450" t="str">
        <f t="shared" si="0"/>
        <v>Боро Варошлија (85)</v>
      </c>
      <c r="Y4" s="451"/>
      <c r="Z4" s="452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53</v>
      </c>
      <c r="AH4" s="10">
        <f>F10+H10+J10+L10+N10+P10+R10</f>
        <v>0</v>
      </c>
      <c r="AI4" s="10">
        <f>G13+I13+K13+M13+O13+Q13+S13</f>
        <v>20</v>
      </c>
      <c r="AJ4" s="10">
        <f>G18+I18+K18+M18+O18+Q18+S18</f>
        <v>33</v>
      </c>
      <c r="AK4" s="444">
        <f t="shared" ref="AK4:AK6" si="2">SUM(AH4:AJ4)-SUM(AM4:AO4)</f>
        <v>-4</v>
      </c>
      <c r="AL4" s="445"/>
      <c r="AM4" s="10">
        <f>AH6</f>
        <v>0</v>
      </c>
      <c r="AN4" s="10">
        <f>AI3</f>
        <v>35</v>
      </c>
      <c r="AO4" s="10">
        <f>AJ5</f>
        <v>22</v>
      </c>
      <c r="AP4" s="9">
        <f t="shared" ref="AP4:AP6" si="3">SUM(AM4:AO4)</f>
        <v>57</v>
      </c>
    </row>
    <row r="5" spans="2:47" ht="24" customHeight="1">
      <c r="B5" s="234">
        <v>3</v>
      </c>
      <c r="C5" s="478" t="str">
        <f>IF(GROUPS!J6="","",GROUPS!J6)</f>
        <v>Боро Варошлија (85)</v>
      </c>
      <c r="D5" s="478"/>
      <c r="E5" s="479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28</v>
      </c>
      <c r="Q5" s="137">
        <f>IF(AND(U9="",T14="",T18=""),"",AP5)</f>
        <v>66</v>
      </c>
      <c r="R5" s="449">
        <f>IF(ISERROR(IF(AND(U9="",T14="",T18=""),"",SUM(AB5:AD5)+(N5-O5)/1000)+(AK5/10000)+(AG5/100000)),"",IF(AND(U9="",T14="",T18=""),"",SUM(AB5:AD5)+(N5-O5)/1000)+(AK5/10000)+(AG5/100000))</f>
        <v>1.99048</v>
      </c>
      <c r="S5" s="449"/>
      <c r="T5" s="138">
        <f>IF(ISERROR(IF(C5="","",RANK(R5,$R$3:$S$6,0))),"",IF(C5="","",RANK(R5,$R$3:$S$6,0)))</f>
        <v>3</v>
      </c>
      <c r="U5" s="9"/>
      <c r="V5" s="9"/>
      <c r="W5" s="7">
        <v>4</v>
      </c>
      <c r="X5" s="450" t="str">
        <f t="shared" si="0"/>
        <v/>
      </c>
      <c r="Y5" s="451"/>
      <c r="Z5" s="45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28</v>
      </c>
      <c r="AH5" s="10">
        <f>G9+I9+K9+M9+O9+Q9+S9</f>
        <v>6</v>
      </c>
      <c r="AI5" s="10">
        <f>F14+H14+J14+L14+N14+P14+R14</f>
        <v>0</v>
      </c>
      <c r="AJ5" s="10">
        <f>F18+H18+J18+L18+N18+P18+R18</f>
        <v>22</v>
      </c>
      <c r="AK5" s="444">
        <f t="shared" si="2"/>
        <v>-38</v>
      </c>
      <c r="AL5" s="44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35">
        <v>4</v>
      </c>
      <c r="C6" s="483" t="str">
        <f>IF(GROUPS!J7="","",GROUPS!J7)</f>
        <v/>
      </c>
      <c r="D6" s="483"/>
      <c r="E6" s="48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149</v>
      </c>
      <c r="Q7" s="153">
        <f>SUM(Q3:Q6)</f>
        <v>149</v>
      </c>
    </row>
    <row r="8" spans="2:47" ht="19.5" thickBot="1">
      <c r="B8" s="430" t="s">
        <v>7</v>
      </c>
      <c r="C8" s="435"/>
      <c r="D8" s="435"/>
      <c r="E8" s="431"/>
      <c r="F8" s="436" t="s">
        <v>8</v>
      </c>
      <c r="G8" s="437"/>
      <c r="H8" s="433" t="s">
        <v>9</v>
      </c>
      <c r="I8" s="437"/>
      <c r="J8" s="433" t="s">
        <v>10</v>
      </c>
      <c r="K8" s="437"/>
      <c r="L8" s="433" t="s">
        <v>11</v>
      </c>
      <c r="M8" s="437"/>
      <c r="N8" s="433" t="s">
        <v>12</v>
      </c>
      <c r="O8" s="437"/>
      <c r="P8" s="433" t="s">
        <v>13</v>
      </c>
      <c r="Q8" s="437"/>
      <c r="R8" s="433" t="s">
        <v>14</v>
      </c>
      <c r="S8" s="434"/>
      <c r="T8" s="430" t="s">
        <v>15</v>
      </c>
      <c r="U8" s="431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Дамјан Стојчев (72)</v>
      </c>
      <c r="D9" s="156">
        <v>3</v>
      </c>
      <c r="E9" s="157" t="str">
        <f>IF(C5="","",VLOOKUP(D9,$B$3:$E$6,2,FALSE))</f>
        <v>Боро Варошлија (85)</v>
      </c>
      <c r="F9" s="158">
        <v>11</v>
      </c>
      <c r="G9" s="159">
        <v>2</v>
      </c>
      <c r="H9" s="160">
        <v>11</v>
      </c>
      <c r="I9" s="159">
        <v>3</v>
      </c>
      <c r="J9" s="158">
        <v>11</v>
      </c>
      <c r="K9" s="161">
        <v>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Кристијан Каламадевски (347)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0" t="s">
        <v>16</v>
      </c>
      <c r="C12" s="435"/>
      <c r="D12" s="435"/>
      <c r="E12" s="431"/>
      <c r="F12" s="436" t="s">
        <v>8</v>
      </c>
      <c r="G12" s="437"/>
      <c r="H12" s="433" t="s">
        <v>9</v>
      </c>
      <c r="I12" s="437"/>
      <c r="J12" s="433" t="s">
        <v>10</v>
      </c>
      <c r="K12" s="437"/>
      <c r="L12" s="433" t="s">
        <v>11</v>
      </c>
      <c r="M12" s="437"/>
      <c r="N12" s="433" t="s">
        <v>12</v>
      </c>
      <c r="O12" s="437"/>
      <c r="P12" s="433" t="s">
        <v>13</v>
      </c>
      <c r="Q12" s="437"/>
      <c r="R12" s="433" t="s">
        <v>14</v>
      </c>
      <c r="S12" s="434"/>
      <c r="T12" s="430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>Дамјан Стојчев (72)</v>
      </c>
      <c r="D13" s="156">
        <v>2</v>
      </c>
      <c r="E13" s="157" t="str">
        <f>IF(C4="","",VLOOKUP(D13,$B$3:$E$6,2,FALSE))</f>
        <v>Кристијан Каламадевски (347)</v>
      </c>
      <c r="F13" s="158">
        <v>11</v>
      </c>
      <c r="G13" s="159">
        <v>5</v>
      </c>
      <c r="H13" s="160">
        <v>13</v>
      </c>
      <c r="I13" s="159">
        <v>11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Боро Варошлија (85)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0" t="s">
        <v>17</v>
      </c>
      <c r="C16" s="435"/>
      <c r="D16" s="435"/>
      <c r="E16" s="431"/>
      <c r="F16" s="436" t="s">
        <v>8</v>
      </c>
      <c r="G16" s="437"/>
      <c r="H16" s="433" t="s">
        <v>9</v>
      </c>
      <c r="I16" s="437"/>
      <c r="J16" s="433" t="s">
        <v>10</v>
      </c>
      <c r="K16" s="437"/>
      <c r="L16" s="433" t="s">
        <v>11</v>
      </c>
      <c r="M16" s="437"/>
      <c r="N16" s="433" t="s">
        <v>12</v>
      </c>
      <c r="O16" s="437"/>
      <c r="P16" s="433" t="s">
        <v>13</v>
      </c>
      <c r="Q16" s="437"/>
      <c r="R16" s="433" t="s">
        <v>14</v>
      </c>
      <c r="S16" s="434"/>
      <c r="T16" s="430" t="s">
        <v>15</v>
      </c>
      <c r="U16" s="431"/>
    </row>
    <row r="17" spans="2:41">
      <c r="B17" s="154">
        <v>1</v>
      </c>
      <c r="C17" s="155" t="str">
        <f>IF(C3="","",VLOOKUP(B17,$B$3:$E$6,2,FALSE))</f>
        <v>Дамјан Стојчев (72)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Боро Варошлија (85)</v>
      </c>
      <c r="D18" s="166">
        <v>2</v>
      </c>
      <c r="E18" s="167" t="str">
        <f>IF(C4="","",VLOOKUP(D18,$B$3:$E$6,2,FALSE))</f>
        <v>Кристијан Каламадевски (347)</v>
      </c>
      <c r="F18" s="168">
        <v>6</v>
      </c>
      <c r="G18" s="169">
        <v>11</v>
      </c>
      <c r="H18" s="170">
        <v>9</v>
      </c>
      <c r="I18" s="169">
        <v>11</v>
      </c>
      <c r="J18" s="168">
        <v>7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AQ17" sqref="AQ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9" t="s">
        <v>1</v>
      </c>
      <c r="R1" s="459"/>
      <c r="S1" s="459"/>
      <c r="T1" s="459"/>
      <c r="U1" s="45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81" t="s">
        <v>3</v>
      </c>
      <c r="D2" s="481"/>
      <c r="E2" s="482"/>
      <c r="F2" s="466">
        <v>1</v>
      </c>
      <c r="G2" s="464"/>
      <c r="H2" s="465">
        <v>2</v>
      </c>
      <c r="I2" s="464"/>
      <c r="J2" s="465">
        <v>3</v>
      </c>
      <c r="K2" s="464"/>
      <c r="L2" s="465">
        <v>4</v>
      </c>
      <c r="M2" s="466"/>
      <c r="N2" s="467" t="s">
        <v>4</v>
      </c>
      <c r="O2" s="468"/>
      <c r="P2" s="469" t="s">
        <v>84</v>
      </c>
      <c r="Q2" s="470"/>
      <c r="R2" s="471" t="s">
        <v>5</v>
      </c>
      <c r="S2" s="471"/>
      <c r="T2" s="126" t="s">
        <v>6</v>
      </c>
      <c r="W2" s="7">
        <v>1</v>
      </c>
      <c r="X2" s="453" t="str">
        <f>IF(ISERROR(INDEX($C$3:$C$6,MATCH(W2,$T$3:$T$6,0))),"",(INDEX($C$3:$C$6,MATCH(W2,$T$3:$T$6,0))))</f>
        <v>Алeксандар Марковиќ (3)</v>
      </c>
      <c r="Y2" s="454"/>
      <c r="Z2" s="455"/>
      <c r="AB2" s="456" t="s">
        <v>85</v>
      </c>
      <c r="AC2" s="456"/>
      <c r="AD2" s="456"/>
      <c r="AE2" s="456"/>
      <c r="AG2" s="6" t="s">
        <v>86</v>
      </c>
      <c r="AK2" s="457" t="s">
        <v>87</v>
      </c>
      <c r="AL2" s="457"/>
      <c r="AP2" s="6" t="s">
        <v>88</v>
      </c>
    </row>
    <row r="3" spans="2:47" ht="24" customHeight="1">
      <c r="B3" s="234">
        <v>1</v>
      </c>
      <c r="C3" s="478" t="str">
        <f>IF(GROUPS!D9="","",GROUPS!D9)</f>
        <v>Алeксандар Марковиќ (3)</v>
      </c>
      <c r="D3" s="478"/>
      <c r="E3" s="479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26</v>
      </c>
      <c r="R3" s="449">
        <f>IF(ISERROR(IF(AND(T9="",T13="",T17=""),"",SUM(AB3:AD3)+(N3-O3)/1000)+(AK3/10000)),"",IF(AND(T9="",T13="",T17=""),"",SUM(AB3:AD3)+(N3-O3)/1000)+(AK3/10000)+(AG3/100000))</f>
        <v>4.0106599999999997</v>
      </c>
      <c r="S3" s="449"/>
      <c r="T3" s="138">
        <f>IF(ISERROR(IF(C3="","",RANK(R3,$R$3:$S$6,0))),"",IF(C3="","",RANK(R3,$R$3:$S$6,0)))</f>
        <v>1</v>
      </c>
      <c r="U3" s="9"/>
      <c r="V3" s="9"/>
      <c r="W3" s="7">
        <v>2</v>
      </c>
      <c r="X3" s="453" t="str">
        <f t="shared" ref="X3:X5" si="0">IF(ISERROR(INDEX($C$3:$C$6,MATCH(W3,$T$3:$T$6,0))),"",(INDEX($C$3:$C$6,MATCH(W3,$T$3:$T$6,0))))</f>
        <v>Зоран Димитријевски (74)</v>
      </c>
      <c r="Y3" s="454"/>
      <c r="Z3" s="45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44">
        <f>SUM(AH3:AJ3)-SUM(AM3:AO3)</f>
        <v>40</v>
      </c>
      <c r="AL3" s="445"/>
      <c r="AM3" s="10">
        <f>AH5</f>
        <v>12</v>
      </c>
      <c r="AN3" s="10">
        <f>AI4</f>
        <v>14</v>
      </c>
      <c r="AO3" s="10">
        <f>AJ6</f>
        <v>0</v>
      </c>
      <c r="AP3" s="9">
        <f>SUM(AM3:AO3)</f>
        <v>26</v>
      </c>
    </row>
    <row r="4" spans="2:47" ht="24" customHeight="1">
      <c r="B4" s="234">
        <v>2</v>
      </c>
      <c r="C4" s="478" t="str">
        <f>IF(GROUPS!D10="","",GROUPS!D10)</f>
        <v>Зоран Димитријевски (74)</v>
      </c>
      <c r="D4" s="478"/>
      <c r="E4" s="479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2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5</v>
      </c>
      <c r="P4" s="136">
        <f>IF(AND(T10="",U13="",U18=""),"",AG4)</f>
        <v>64</v>
      </c>
      <c r="Q4" s="137">
        <f>IF(AND(T10="",U13="",U18=""),"",AP4)</f>
        <v>84</v>
      </c>
      <c r="R4" s="449">
        <f>IF(ISERROR(IF(AND(T10="",U13="",U18=""),"",SUM(AB4:AD4)+(N4-O4)/1000)+(AK4/10000)+(AG4/100000)),"",IF(AND(T10="",U13="",U18=""),"",SUM(AB4:AD4)+(N4-O4)/1000)+(AK4/10000)+(AG4/100000))</f>
        <v>2.9966400000000006</v>
      </c>
      <c r="S4" s="449"/>
      <c r="T4" s="138">
        <f>IF(ISERROR(IF(C4="","",RANK(R4,$R$3:$S$6,0))),"",IF(C4="","",RANK(R4,$R$3:$S$6,0)))</f>
        <v>2</v>
      </c>
      <c r="U4" s="9"/>
      <c r="V4" s="9"/>
      <c r="W4" s="7">
        <v>3</v>
      </c>
      <c r="X4" s="450" t="str">
        <f t="shared" si="0"/>
        <v>Антун Јурковиќ (1001)</v>
      </c>
      <c r="Y4" s="451"/>
      <c r="Z4" s="452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64</v>
      </c>
      <c r="AH4" s="10">
        <f>F10+H10+J10+L10+N10+P10+R10</f>
        <v>0</v>
      </c>
      <c r="AI4" s="10">
        <f>G13+I13+K13+M13+O13+Q13+S13</f>
        <v>14</v>
      </c>
      <c r="AJ4" s="10">
        <f>G18+I18+K18+M18+O18+Q18+S18</f>
        <v>50</v>
      </c>
      <c r="AK4" s="444">
        <f t="shared" ref="AK4:AK6" si="2">SUM(AH4:AJ4)-SUM(AM4:AO4)</f>
        <v>-20</v>
      </c>
      <c r="AL4" s="445"/>
      <c r="AM4" s="10">
        <f>AH6</f>
        <v>0</v>
      </c>
      <c r="AN4" s="10">
        <f>AI3</f>
        <v>33</v>
      </c>
      <c r="AO4" s="10">
        <f>AJ5</f>
        <v>51</v>
      </c>
      <c r="AP4" s="9">
        <f t="shared" ref="AP4:AP6" si="3">SUM(AM4:AO4)</f>
        <v>84</v>
      </c>
    </row>
    <row r="5" spans="2:47" ht="24" customHeight="1">
      <c r="B5" s="234">
        <v>3</v>
      </c>
      <c r="C5" s="478" t="str">
        <f>IF(GROUPS!D11="","",GROUPS!D11)</f>
        <v>Антун Јурковиќ (1001)</v>
      </c>
      <c r="D5" s="478"/>
      <c r="E5" s="479"/>
      <c r="F5" s="232">
        <f>U9</f>
        <v>0</v>
      </c>
      <c r="G5" s="132">
        <f>T9</f>
        <v>3</v>
      </c>
      <c r="H5" s="130">
        <f>T18</f>
        <v>2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2</v>
      </c>
      <c r="O5" s="135">
        <f>IF(AND(U9="",T14="",T18=""),"",SUM(G5,I5,M5))</f>
        <v>6</v>
      </c>
      <c r="P5" s="136">
        <f>IF(AND(U9="",T14="",T18=""),"",AG5)</f>
        <v>63</v>
      </c>
      <c r="Q5" s="137">
        <f>IF(AND(U9="",T14="",T18=""),"",AP5)</f>
        <v>83</v>
      </c>
      <c r="R5" s="449">
        <f>IF(ISERROR(IF(AND(U9="",T14="",T18=""),"",SUM(AB5:AD5)+(N5-O5)/1000)+(AK5/10000)+(AG5/100000)),"",IF(AND(U9="",T14="",T18=""),"",SUM(AB5:AD5)+(N5-O5)/1000)+(AK5/10000)+(AG5/100000))</f>
        <v>1.9946299999999999</v>
      </c>
      <c r="S5" s="449"/>
      <c r="T5" s="138">
        <f>IF(ISERROR(IF(C5="","",RANK(R5,$R$3:$S$6,0))),"",IF(C5="","",RANK(R5,$R$3:$S$6,0)))</f>
        <v>3</v>
      </c>
      <c r="U5" s="9"/>
      <c r="V5" s="9"/>
      <c r="W5" s="7">
        <v>4</v>
      </c>
      <c r="X5" s="450" t="str">
        <f t="shared" si="0"/>
        <v/>
      </c>
      <c r="Y5" s="451"/>
      <c r="Z5" s="45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63</v>
      </c>
      <c r="AH5" s="10">
        <f>G9+I9+K9+M9+O9+Q9+S9</f>
        <v>12</v>
      </c>
      <c r="AI5" s="10">
        <f>F14+H14+J14+L14+N14+P14+R14</f>
        <v>0</v>
      </c>
      <c r="AJ5" s="10">
        <f>F18+H18+J18+L18+N18+P18+R18</f>
        <v>51</v>
      </c>
      <c r="AK5" s="444">
        <f t="shared" si="2"/>
        <v>-20</v>
      </c>
      <c r="AL5" s="445"/>
      <c r="AM5" s="10">
        <f>AH3</f>
        <v>33</v>
      </c>
      <c r="AN5" s="10">
        <f>AI6</f>
        <v>0</v>
      </c>
      <c r="AO5" s="10">
        <f>AJ4</f>
        <v>50</v>
      </c>
      <c r="AP5" s="9">
        <f t="shared" si="3"/>
        <v>83</v>
      </c>
    </row>
    <row r="6" spans="2:47" ht="24" customHeight="1" thickBot="1">
      <c r="B6" s="235">
        <v>4</v>
      </c>
      <c r="C6" s="483" t="str">
        <f>IF(GROUPS!D12="","",GROUPS!D12)</f>
        <v/>
      </c>
      <c r="D6" s="483"/>
      <c r="E6" s="48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193</v>
      </c>
      <c r="Q7" s="153">
        <f>SUM(Q3:Q6)</f>
        <v>193</v>
      </c>
    </row>
    <row r="8" spans="2:47" ht="19.5" thickBot="1">
      <c r="B8" s="430" t="s">
        <v>7</v>
      </c>
      <c r="C8" s="435"/>
      <c r="D8" s="435"/>
      <c r="E8" s="431"/>
      <c r="F8" s="436" t="s">
        <v>8</v>
      </c>
      <c r="G8" s="437"/>
      <c r="H8" s="433" t="s">
        <v>9</v>
      </c>
      <c r="I8" s="437"/>
      <c r="J8" s="433" t="s">
        <v>10</v>
      </c>
      <c r="K8" s="437"/>
      <c r="L8" s="433" t="s">
        <v>11</v>
      </c>
      <c r="M8" s="437"/>
      <c r="N8" s="433" t="s">
        <v>12</v>
      </c>
      <c r="O8" s="437"/>
      <c r="P8" s="433" t="s">
        <v>13</v>
      </c>
      <c r="Q8" s="437"/>
      <c r="R8" s="433" t="s">
        <v>14</v>
      </c>
      <c r="S8" s="434"/>
      <c r="T8" s="430" t="s">
        <v>15</v>
      </c>
      <c r="U8" s="431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Алeксандар Марковиќ (3)</v>
      </c>
      <c r="D9" s="156">
        <v>3</v>
      </c>
      <c r="E9" s="157" t="str">
        <f>IF(C5="","",VLOOKUP(D9,$B$3:$E$6,2,FALSE))</f>
        <v>Антун Јурковиќ (1001)</v>
      </c>
      <c r="F9" s="158">
        <v>11</v>
      </c>
      <c r="G9" s="159">
        <v>4</v>
      </c>
      <c r="H9" s="160">
        <v>11</v>
      </c>
      <c r="I9" s="159">
        <v>4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Зоран Димитријевски (74)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0" t="s">
        <v>16</v>
      </c>
      <c r="C12" s="435"/>
      <c r="D12" s="435"/>
      <c r="E12" s="431"/>
      <c r="F12" s="436" t="s">
        <v>8</v>
      </c>
      <c r="G12" s="437"/>
      <c r="H12" s="433" t="s">
        <v>9</v>
      </c>
      <c r="I12" s="437"/>
      <c r="J12" s="433" t="s">
        <v>10</v>
      </c>
      <c r="K12" s="437"/>
      <c r="L12" s="433" t="s">
        <v>11</v>
      </c>
      <c r="M12" s="437"/>
      <c r="N12" s="433" t="s">
        <v>12</v>
      </c>
      <c r="O12" s="437"/>
      <c r="P12" s="433" t="s">
        <v>13</v>
      </c>
      <c r="Q12" s="437"/>
      <c r="R12" s="433" t="s">
        <v>14</v>
      </c>
      <c r="S12" s="434"/>
      <c r="T12" s="430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>Алeксандар Марковиќ (3)</v>
      </c>
      <c r="D13" s="156">
        <v>2</v>
      </c>
      <c r="E13" s="157" t="str">
        <f>IF(C4="","",VLOOKUP(D13,$B$3:$E$6,2,FALSE))</f>
        <v>Зоран Димитријевски (74)</v>
      </c>
      <c r="F13" s="158">
        <v>11</v>
      </c>
      <c r="G13" s="159">
        <v>7</v>
      </c>
      <c r="H13" s="160">
        <v>11</v>
      </c>
      <c r="I13" s="159">
        <v>3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Антун Јурковиќ (1001)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0" t="s">
        <v>17</v>
      </c>
      <c r="C16" s="435"/>
      <c r="D16" s="435"/>
      <c r="E16" s="431"/>
      <c r="F16" s="436" t="s">
        <v>8</v>
      </c>
      <c r="G16" s="437"/>
      <c r="H16" s="433" t="s">
        <v>9</v>
      </c>
      <c r="I16" s="437"/>
      <c r="J16" s="433" t="s">
        <v>10</v>
      </c>
      <c r="K16" s="437"/>
      <c r="L16" s="433" t="s">
        <v>11</v>
      </c>
      <c r="M16" s="437"/>
      <c r="N16" s="433" t="s">
        <v>12</v>
      </c>
      <c r="O16" s="437"/>
      <c r="P16" s="433" t="s">
        <v>13</v>
      </c>
      <c r="Q16" s="437"/>
      <c r="R16" s="433" t="s">
        <v>14</v>
      </c>
      <c r="S16" s="434"/>
      <c r="T16" s="430" t="s">
        <v>15</v>
      </c>
      <c r="U16" s="431"/>
    </row>
    <row r="17" spans="2:41">
      <c r="B17" s="154">
        <v>1</v>
      </c>
      <c r="C17" s="155" t="str">
        <f>IF(C3="","",VLOOKUP(B17,$B$3:$E$6,2,FALSE))</f>
        <v>Алeксандар Марковиќ (3)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Антун Јурковиќ (1001)</v>
      </c>
      <c r="D18" s="166">
        <v>2</v>
      </c>
      <c r="E18" s="167" t="str">
        <f>IF(C4="","",VLOOKUP(D18,$B$3:$E$6,2,FALSE))</f>
        <v>Зоран Димитријевски (74)</v>
      </c>
      <c r="F18" s="168">
        <v>11</v>
      </c>
      <c r="G18" s="169">
        <v>5</v>
      </c>
      <c r="H18" s="170">
        <v>8</v>
      </c>
      <c r="I18" s="169">
        <v>11</v>
      </c>
      <c r="J18" s="168">
        <v>11</v>
      </c>
      <c r="K18" s="171">
        <v>13</v>
      </c>
      <c r="L18" s="170">
        <v>11</v>
      </c>
      <c r="M18" s="169">
        <v>9</v>
      </c>
      <c r="N18" s="168">
        <v>10</v>
      </c>
      <c r="O18" s="171">
        <v>12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2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W21" sqref="W2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8" t="s">
        <v>0</v>
      </c>
      <c r="C1" s="458"/>
      <c r="D1" s="458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9" t="s">
        <v>1</v>
      </c>
      <c r="R1" s="459"/>
      <c r="S1" s="459"/>
      <c r="T1" s="459"/>
      <c r="U1" s="45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1"/>
      <c r="E2" s="462"/>
      <c r="F2" s="463">
        <v>1</v>
      </c>
      <c r="G2" s="464"/>
      <c r="H2" s="465">
        <v>2</v>
      </c>
      <c r="I2" s="464"/>
      <c r="J2" s="465">
        <v>3</v>
      </c>
      <c r="K2" s="464"/>
      <c r="L2" s="465">
        <v>4</v>
      </c>
      <c r="M2" s="466"/>
      <c r="N2" s="467" t="s">
        <v>4</v>
      </c>
      <c r="O2" s="468"/>
      <c r="P2" s="469" t="s">
        <v>84</v>
      </c>
      <c r="Q2" s="470"/>
      <c r="R2" s="471" t="s">
        <v>5</v>
      </c>
      <c r="S2" s="471"/>
      <c r="T2" s="126" t="s">
        <v>6</v>
      </c>
      <c r="W2" s="7">
        <v>1</v>
      </c>
      <c r="X2" s="453" t="str">
        <f>IF(ISERROR(INDEX($C$3:$C$6,MATCH(W2,$T$3:$T$6,0))),"",(INDEX($C$3:$C$6,MATCH(W2,$T$3:$T$6,0))))</f>
        <v>Лука Стојчев (73)</v>
      </c>
      <c r="Y2" s="454"/>
      <c r="Z2" s="455"/>
      <c r="AB2" s="456" t="s">
        <v>85</v>
      </c>
      <c r="AC2" s="456"/>
      <c r="AD2" s="456"/>
      <c r="AE2" s="456"/>
      <c r="AG2" s="6" t="s">
        <v>86</v>
      </c>
      <c r="AK2" s="457" t="s">
        <v>87</v>
      </c>
      <c r="AL2" s="457"/>
      <c r="AP2" s="6" t="s">
        <v>88</v>
      </c>
    </row>
    <row r="3" spans="2:47" ht="24" customHeight="1">
      <c r="B3" s="127">
        <v>1</v>
      </c>
      <c r="C3" s="446" t="str">
        <f>IF(GROUPS!F9="","",GROUPS!F9)</f>
        <v>Лука Стојчев (73)</v>
      </c>
      <c r="D3" s="447"/>
      <c r="E3" s="448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76</v>
      </c>
      <c r="Q3" s="137">
        <f>IF(AND(T9="",T13="",T17=""),"",AP3)</f>
        <v>36</v>
      </c>
      <c r="R3" s="449">
        <f>IF(ISERROR(IF(AND(T9="",T13="",T17=""),"",SUM(AB3:AD3)+(N3-O3)/1000)+(AK3/10000)),"",IF(AND(T9="",T13="",T17=""),"",SUM(AB3:AD3)+(N3-O3)/1000)+(AK3/10000)+(AG3/100000))</f>
        <v>4.0097599999999991</v>
      </c>
      <c r="S3" s="449"/>
      <c r="T3" s="138">
        <f>IF(ISERROR(IF(C3="","",RANK(R3,$R$3:$S$6,0))),"",IF(C3="","",RANK(R3,$R$3:$S$6,0)))</f>
        <v>1</v>
      </c>
      <c r="U3" s="9"/>
      <c r="V3" s="9"/>
      <c r="W3" s="7">
        <v>2</v>
      </c>
      <c r="X3" s="453" t="str">
        <f t="shared" ref="X3:X5" si="0">IF(ISERROR(INDEX($C$3:$C$6,MATCH(W3,$T$3:$T$6,0))),"",(INDEX($C$3:$C$6,MATCH(W3,$T$3:$T$6,0))))</f>
        <v>Андреј Васевски (203)</v>
      </c>
      <c r="Y3" s="454"/>
      <c r="Z3" s="45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76</v>
      </c>
      <c r="AH3" s="10">
        <f>F9+H9+J9+L9+N9+P9+R9</f>
        <v>33</v>
      </c>
      <c r="AI3" s="10">
        <f>F13+H13+J13+L13+N13+P13+R13</f>
        <v>43</v>
      </c>
      <c r="AJ3" s="10">
        <f>F17+H17+J17+L17+N17+P17+R17</f>
        <v>0</v>
      </c>
      <c r="AK3" s="444">
        <f>SUM(AH3:AJ3)-SUM(AM3:AO3)</f>
        <v>40</v>
      </c>
      <c r="AL3" s="445"/>
      <c r="AM3" s="10">
        <f>AH5</f>
        <v>9</v>
      </c>
      <c r="AN3" s="10">
        <f>AI4</f>
        <v>27</v>
      </c>
      <c r="AO3" s="10">
        <f>AJ6</f>
        <v>0</v>
      </c>
      <c r="AP3" s="9">
        <f>SUM(AM3:AO3)</f>
        <v>36</v>
      </c>
    </row>
    <row r="4" spans="2:47" ht="24" customHeight="1">
      <c r="B4" s="127">
        <v>2</v>
      </c>
      <c r="C4" s="446" t="str">
        <f>IF(GROUPS!F10="","",GROUPS!F10)</f>
        <v>Андреј Васевски (203)</v>
      </c>
      <c r="D4" s="447"/>
      <c r="E4" s="448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4</v>
      </c>
      <c r="O4" s="135">
        <f>IF(AND(T10="",U13="",U18=""),"",SUM(G4,K4,M4))</f>
        <v>3</v>
      </c>
      <c r="P4" s="136">
        <f>IF(AND(T10="",U13="",U18=""),"",AG4)</f>
        <v>62</v>
      </c>
      <c r="Q4" s="137">
        <f>IF(AND(T10="",U13="",U18=""),"",AP4)</f>
        <v>63</v>
      </c>
      <c r="R4" s="449">
        <f>IF(ISERROR(IF(AND(T10="",U13="",U18=""),"",SUM(AB4:AD4)+(N4-O4)/1000)+(AK4/10000)+(AG4/100000)),"",IF(AND(T10="",U13="",U18=""),"",SUM(AB4:AD4)+(N4-O4)/1000)+(AK4/10000)+(AG4/100000))</f>
        <v>3.0015199999999997</v>
      </c>
      <c r="S4" s="449"/>
      <c r="T4" s="138">
        <f>IF(ISERROR(IF(C4="","",RANK(R4,$R$3:$S$6,0))),"",IF(C4="","",RANK(R4,$R$3:$S$6,0)))</f>
        <v>2</v>
      </c>
      <c r="U4" s="9"/>
      <c r="V4" s="9"/>
      <c r="W4" s="7">
        <v>3</v>
      </c>
      <c r="X4" s="450" t="str">
        <f t="shared" si="0"/>
        <v>Игор Николовски (84)</v>
      </c>
      <c r="Y4" s="451"/>
      <c r="Z4" s="452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62</v>
      </c>
      <c r="AH4" s="10">
        <f>F10+H10+J10+L10+N10+P10+R10</f>
        <v>0</v>
      </c>
      <c r="AI4" s="10">
        <f>G13+I13+K13+M13+O13+Q13+S13</f>
        <v>27</v>
      </c>
      <c r="AJ4" s="10">
        <f>G18+I18+K18+M18+O18+Q18+S18</f>
        <v>35</v>
      </c>
      <c r="AK4" s="444">
        <f t="shared" ref="AK4:AK6" si="2">SUM(AH4:AJ4)-SUM(AM4:AO4)</f>
        <v>-1</v>
      </c>
      <c r="AL4" s="445"/>
      <c r="AM4" s="10">
        <f>AH6</f>
        <v>0</v>
      </c>
      <c r="AN4" s="10">
        <f>AI3</f>
        <v>43</v>
      </c>
      <c r="AO4" s="10">
        <f>AJ5</f>
        <v>20</v>
      </c>
      <c r="AP4" s="9">
        <f t="shared" ref="AP4:AP6" si="3">SUM(AM4:AO4)</f>
        <v>63</v>
      </c>
    </row>
    <row r="5" spans="2:47" ht="24" customHeight="1">
      <c r="B5" s="127">
        <v>3</v>
      </c>
      <c r="C5" s="446" t="str">
        <f>IF(GROUPS!F11="","",GROUPS!F11)</f>
        <v>Игор Николовски (84)</v>
      </c>
      <c r="D5" s="447"/>
      <c r="E5" s="448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29</v>
      </c>
      <c r="Q5" s="137">
        <f>IF(AND(U9="",T14="",T18=""),"",AP5)</f>
        <v>68</v>
      </c>
      <c r="R5" s="449">
        <f>IF(ISERROR(IF(AND(U9="",T14="",T18=""),"",SUM(AB5:AD5)+(N5-O5)/1000)+(AK5/10000)+(AG5/100000)),"",IF(AND(U9="",T14="",T18=""),"",SUM(AB5:AD5)+(N5-O5)/1000)+(AK5/10000)+(AG5/100000))</f>
        <v>1.9903899999999999</v>
      </c>
      <c r="S5" s="449"/>
      <c r="T5" s="138">
        <f>IF(ISERROR(IF(C5="","",RANK(R5,$R$3:$S$6,0))),"",IF(C5="","",RANK(R5,$R$3:$S$6,0)))</f>
        <v>3</v>
      </c>
      <c r="U5" s="9"/>
      <c r="V5" s="9"/>
      <c r="W5" s="7">
        <v>4</v>
      </c>
      <c r="X5" s="450" t="str">
        <f t="shared" si="0"/>
        <v/>
      </c>
      <c r="Y5" s="451"/>
      <c r="Z5" s="45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29</v>
      </c>
      <c r="AH5" s="10">
        <f>G9+I9+K9+M9+O9+Q9+S9</f>
        <v>9</v>
      </c>
      <c r="AI5" s="10">
        <f>F14+H14+J14+L14+N14+P14+R14</f>
        <v>0</v>
      </c>
      <c r="AJ5" s="10">
        <f>F18+H18+J18+L18+N18+P18+R18</f>
        <v>20</v>
      </c>
      <c r="AK5" s="444">
        <f t="shared" si="2"/>
        <v>-39</v>
      </c>
      <c r="AL5" s="445"/>
      <c r="AM5" s="10">
        <f>AH3</f>
        <v>33</v>
      </c>
      <c r="AN5" s="10">
        <f>AI6</f>
        <v>0</v>
      </c>
      <c r="AO5" s="10">
        <f>AJ4</f>
        <v>35</v>
      </c>
      <c r="AP5" s="9">
        <f t="shared" si="3"/>
        <v>68</v>
      </c>
    </row>
    <row r="6" spans="2:47" ht="24" customHeight="1" thickBot="1">
      <c r="B6" s="142">
        <v>4</v>
      </c>
      <c r="C6" s="440" t="str">
        <f>IF(GROUPS!F12="","",GROUPS!F12)</f>
        <v/>
      </c>
      <c r="D6" s="441"/>
      <c r="E6" s="44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167</v>
      </c>
      <c r="Q7" s="153">
        <f>SUM(Q3:Q6)</f>
        <v>167</v>
      </c>
    </row>
    <row r="8" spans="2:47" ht="19.5" thickBot="1">
      <c r="B8" s="430" t="s">
        <v>7</v>
      </c>
      <c r="C8" s="435"/>
      <c r="D8" s="435"/>
      <c r="E8" s="431"/>
      <c r="F8" s="436" t="s">
        <v>8</v>
      </c>
      <c r="G8" s="437"/>
      <c r="H8" s="433" t="s">
        <v>9</v>
      </c>
      <c r="I8" s="437"/>
      <c r="J8" s="433" t="s">
        <v>10</v>
      </c>
      <c r="K8" s="437"/>
      <c r="L8" s="433" t="s">
        <v>11</v>
      </c>
      <c r="M8" s="437"/>
      <c r="N8" s="433" t="s">
        <v>12</v>
      </c>
      <c r="O8" s="437"/>
      <c r="P8" s="433" t="s">
        <v>13</v>
      </c>
      <c r="Q8" s="437"/>
      <c r="R8" s="433" t="s">
        <v>14</v>
      </c>
      <c r="S8" s="434"/>
      <c r="T8" s="430" t="s">
        <v>15</v>
      </c>
      <c r="U8" s="431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Лука Стојчев (73)</v>
      </c>
      <c r="D9" s="156">
        <v>3</v>
      </c>
      <c r="E9" s="157" t="str">
        <f>IF(C5="","",VLOOKUP(D9,$B$3:$E$6,2,FALSE))</f>
        <v>Игор Николовски (84)</v>
      </c>
      <c r="F9" s="158">
        <v>11</v>
      </c>
      <c r="G9" s="159">
        <v>2</v>
      </c>
      <c r="H9" s="160">
        <v>11</v>
      </c>
      <c r="I9" s="159">
        <v>5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Андреј Васевски (203)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0" t="s">
        <v>16</v>
      </c>
      <c r="C12" s="435"/>
      <c r="D12" s="435"/>
      <c r="E12" s="431"/>
      <c r="F12" s="436" t="s">
        <v>8</v>
      </c>
      <c r="G12" s="437"/>
      <c r="H12" s="433" t="s">
        <v>9</v>
      </c>
      <c r="I12" s="437"/>
      <c r="J12" s="433" t="s">
        <v>10</v>
      </c>
      <c r="K12" s="437"/>
      <c r="L12" s="433" t="s">
        <v>11</v>
      </c>
      <c r="M12" s="437"/>
      <c r="N12" s="433" t="s">
        <v>12</v>
      </c>
      <c r="O12" s="437"/>
      <c r="P12" s="433" t="s">
        <v>13</v>
      </c>
      <c r="Q12" s="437"/>
      <c r="R12" s="433" t="s">
        <v>14</v>
      </c>
      <c r="S12" s="434"/>
      <c r="T12" s="430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>Лука Стојчев (73)</v>
      </c>
      <c r="D13" s="156">
        <v>2</v>
      </c>
      <c r="E13" s="157" t="str">
        <f>IF(C4="","",VLOOKUP(D13,$B$3:$E$6,2,FALSE))</f>
        <v>Андреј Васевски (203)</v>
      </c>
      <c r="F13" s="158">
        <v>11</v>
      </c>
      <c r="G13" s="159">
        <v>4</v>
      </c>
      <c r="H13" s="160">
        <v>10</v>
      </c>
      <c r="I13" s="159">
        <v>12</v>
      </c>
      <c r="J13" s="158">
        <v>11</v>
      </c>
      <c r="K13" s="161">
        <v>2</v>
      </c>
      <c r="L13" s="160">
        <v>11</v>
      </c>
      <c r="M13" s="159">
        <v>9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Игор Николовски (84)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0" t="s">
        <v>17</v>
      </c>
      <c r="C16" s="435"/>
      <c r="D16" s="435"/>
      <c r="E16" s="431"/>
      <c r="F16" s="436" t="s">
        <v>8</v>
      </c>
      <c r="G16" s="437"/>
      <c r="H16" s="433" t="s">
        <v>9</v>
      </c>
      <c r="I16" s="437"/>
      <c r="J16" s="433" t="s">
        <v>10</v>
      </c>
      <c r="K16" s="437"/>
      <c r="L16" s="433" t="s">
        <v>11</v>
      </c>
      <c r="M16" s="437"/>
      <c r="N16" s="433" t="s">
        <v>12</v>
      </c>
      <c r="O16" s="437"/>
      <c r="P16" s="433" t="s">
        <v>13</v>
      </c>
      <c r="Q16" s="437"/>
      <c r="R16" s="433" t="s">
        <v>14</v>
      </c>
      <c r="S16" s="434"/>
      <c r="T16" s="430" t="s">
        <v>15</v>
      </c>
      <c r="U16" s="431"/>
    </row>
    <row r="17" spans="2:41">
      <c r="B17" s="154">
        <v>1</v>
      </c>
      <c r="C17" s="155" t="str">
        <f>IF(C3="","",VLOOKUP(B17,$B$3:$E$6,2,FALSE))</f>
        <v>Лука Стојчев (73)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Игор Николовски (84)</v>
      </c>
      <c r="D18" s="166">
        <v>2</v>
      </c>
      <c r="E18" s="167" t="str">
        <f>IF(C4="","",VLOOKUP(D18,$B$3:$E$6,2,FALSE))</f>
        <v>Андреј Васевски (203)</v>
      </c>
      <c r="F18" s="168">
        <v>6</v>
      </c>
      <c r="G18" s="169">
        <v>11</v>
      </c>
      <c r="H18" s="170">
        <v>11</v>
      </c>
      <c r="I18" s="169">
        <v>13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8" t="s">
        <v>0</v>
      </c>
      <c r="C1" s="458"/>
      <c r="D1" s="458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9" t="s">
        <v>1</v>
      </c>
      <c r="R1" s="459"/>
      <c r="S1" s="459"/>
      <c r="T1" s="459"/>
      <c r="U1" s="45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1"/>
      <c r="E2" s="462"/>
      <c r="F2" s="463">
        <v>1</v>
      </c>
      <c r="G2" s="464"/>
      <c r="H2" s="465">
        <v>2</v>
      </c>
      <c r="I2" s="464"/>
      <c r="J2" s="465">
        <v>3</v>
      </c>
      <c r="K2" s="464"/>
      <c r="L2" s="465">
        <v>4</v>
      </c>
      <c r="M2" s="466"/>
      <c r="N2" s="467" t="s">
        <v>4</v>
      </c>
      <c r="O2" s="468"/>
      <c r="P2" s="469" t="s">
        <v>84</v>
      </c>
      <c r="Q2" s="470"/>
      <c r="R2" s="471" t="s">
        <v>5</v>
      </c>
      <c r="S2" s="471"/>
      <c r="T2" s="126" t="s">
        <v>6</v>
      </c>
      <c r="W2" s="7">
        <v>1</v>
      </c>
      <c r="X2" s="453" t="str">
        <f>IF(ISERROR(INDEX($C$3:$C$6,MATCH(W2,$T$3:$T$6,0))),"",(INDEX($C$3:$C$6,MATCH(W2,$T$3:$T$6,0))))</f>
        <v>Васко Манасијески (36)</v>
      </c>
      <c r="Y2" s="454"/>
      <c r="Z2" s="455"/>
      <c r="AB2" s="456" t="s">
        <v>85</v>
      </c>
      <c r="AC2" s="456"/>
      <c r="AD2" s="456"/>
      <c r="AE2" s="456"/>
      <c r="AG2" s="6" t="s">
        <v>86</v>
      </c>
      <c r="AK2" s="457" t="s">
        <v>87</v>
      </c>
      <c r="AL2" s="457"/>
      <c r="AP2" s="6" t="s">
        <v>88</v>
      </c>
    </row>
    <row r="3" spans="2:47" ht="24" customHeight="1">
      <c r="B3" s="127">
        <v>1</v>
      </c>
      <c r="C3" s="446" t="str">
        <f>IF(GROUPS!H9="","",GROUPS!H9)</f>
        <v>Васко Манасијески (36)</v>
      </c>
      <c r="D3" s="447"/>
      <c r="E3" s="448"/>
      <c r="F3" s="128"/>
      <c r="G3" s="129"/>
      <c r="H3" s="130" t="str">
        <f>T13</f>
        <v/>
      </c>
      <c r="I3" s="131" t="str">
        <f>U13</f>
        <v/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3</v>
      </c>
      <c r="O3" s="135">
        <f>IF(AND(T9="",T13="",T17=""),"",SUM(I3,K3,M3))</f>
        <v>0</v>
      </c>
      <c r="P3" s="136">
        <f>IF(AND(T9="",T13="",T17=""),"",AG3)</f>
        <v>33</v>
      </c>
      <c r="Q3" s="137">
        <f>IF(AND(T9="",T13="",T17=""),"",AP3)</f>
        <v>21</v>
      </c>
      <c r="R3" s="449">
        <f>IF(ISERROR(IF(AND(T9="",T13="",T17=""),"",SUM(AB3:AD3)+(N3-O3)/1000)+(AK3/10000)),"",IF(AND(T9="",T13="",T17=""),"",SUM(AB3:AD3)+(N3-O3)/1000)+(AK3/10000)+(AG3/100000))</f>
        <v>2.0045299999999999</v>
      </c>
      <c r="S3" s="449"/>
      <c r="T3" s="138">
        <f>IF(ISERROR(IF(C3="","",RANK(R3,$R$3:$S$6,0))),"",IF(C3="","",RANK(R3,$R$3:$S$6,0)))</f>
        <v>1</v>
      </c>
      <c r="U3" s="9"/>
      <c r="V3" s="9"/>
      <c r="W3" s="7">
        <v>2</v>
      </c>
      <c r="X3" s="453" t="str">
        <f t="shared" ref="X3:X5" si="0">IF(ISERROR(INDEX($C$3:$C$6,MATCH(W3,$T$3:$T$6,0))),"",(INDEX($C$3:$C$6,MATCH(W3,$T$3:$T$6,0))))</f>
        <v>Александар Арсов (237)</v>
      </c>
      <c r="Y3" s="454"/>
      <c r="Z3" s="455"/>
      <c r="AB3" s="10" t="str">
        <f>IF(H3="","",IF(H3&gt;I3,2,1))</f>
        <v/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33</v>
      </c>
      <c r="AH3" s="10">
        <f>F9+H9+J9+L9+N9+P9+R9</f>
        <v>33</v>
      </c>
      <c r="AI3" s="10">
        <f>F13+H13+J13+L13+N13+P13+R13</f>
        <v>0</v>
      </c>
      <c r="AJ3" s="10">
        <f>F17+H17+J17+L17+N17+P17+R17</f>
        <v>0</v>
      </c>
      <c r="AK3" s="444">
        <f>SUM(AH3:AJ3)-SUM(AM3:AO3)</f>
        <v>12</v>
      </c>
      <c r="AL3" s="445"/>
      <c r="AM3" s="10">
        <f>AH5</f>
        <v>21</v>
      </c>
      <c r="AN3" s="10">
        <f>AI4</f>
        <v>0</v>
      </c>
      <c r="AO3" s="10">
        <f>AJ6</f>
        <v>0</v>
      </c>
      <c r="AP3" s="9">
        <f>SUM(AM3:AO3)</f>
        <v>21</v>
      </c>
    </row>
    <row r="4" spans="2:47" ht="24" customHeight="1">
      <c r="B4" s="127">
        <v>2</v>
      </c>
      <c r="C4" s="446" t="str">
        <f>IF(GROUPS!H10="","",GROUPS!H10)</f>
        <v>Борче Талевски (253)</v>
      </c>
      <c r="D4" s="447"/>
      <c r="E4" s="44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9" t="str">
        <f>IF(ISERROR(IF(AND(T10="",U13="",U18=""),"",SUM(AB4:AD4)+(N4-O4)/1000)+(AK4/10000)+(AG4/100000)),"",IF(AND(T10="",U13="",U18=""),"",SUM(AB4:AD4)+(N4-O4)/1000)+(AK4/10000)+(AG4/100000))</f>
        <v/>
      </c>
      <c r="S4" s="44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0" t="str">
        <f t="shared" si="0"/>
        <v/>
      </c>
      <c r="Y4" s="451"/>
      <c r="Z4" s="45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4">
        <f t="shared" ref="AK4:AK6" si="2">SUM(AH4:AJ4)-SUM(AM4:AO4)</f>
        <v>0</v>
      </c>
      <c r="AL4" s="44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6" t="str">
        <f>IF(GROUPS!H11="","",GROUPS!H11)</f>
        <v>Александар Арсов (237)</v>
      </c>
      <c r="D5" s="447"/>
      <c r="E5" s="448"/>
      <c r="F5" s="139">
        <f>U9</f>
        <v>0</v>
      </c>
      <c r="G5" s="132">
        <f>T9</f>
        <v>3</v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3</v>
      </c>
      <c r="P5" s="136">
        <f>IF(AND(U9="",T14="",T18=""),"",AG5)</f>
        <v>21</v>
      </c>
      <c r="Q5" s="137">
        <f>IF(AND(U9="",T14="",T18=""),"",AP5)</f>
        <v>33</v>
      </c>
      <c r="R5" s="449">
        <f>IF(ISERROR(IF(AND(U9="",T14="",T18=""),"",SUM(AB5:AD5)+(N5-O5)/1000)+(AK5/10000)+(AG5/100000)),"",IF(AND(U9="",T14="",T18=""),"",SUM(AB5:AD5)+(N5-O5)/1000)+(AK5/10000)+(AG5/100000))</f>
        <v>0.99601000000000006</v>
      </c>
      <c r="S5" s="449"/>
      <c r="T5" s="138">
        <f>IF(ISERROR(IF(C5="","",RANK(R5,$R$3:$S$6,0))),"",IF(C5="","",RANK(R5,$R$3:$S$6,0)))</f>
        <v>2</v>
      </c>
      <c r="U5" s="9"/>
      <c r="V5" s="9"/>
      <c r="W5" s="7">
        <v>4</v>
      </c>
      <c r="X5" s="450" t="str">
        <f t="shared" si="0"/>
        <v/>
      </c>
      <c r="Y5" s="451"/>
      <c r="Z5" s="452"/>
      <c r="AB5" s="10">
        <f t="shared" ref="AB5:AB6" si="4">IF(F5="","",IF(F5&gt;G5,2,1))</f>
        <v>1</v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21</v>
      </c>
      <c r="AH5" s="10">
        <f>G9+I9+K9+M9+O9+Q9+S9</f>
        <v>21</v>
      </c>
      <c r="AI5" s="10">
        <f>F14+H14+J14+L14+N14+P14+R14</f>
        <v>0</v>
      </c>
      <c r="AJ5" s="10">
        <f>F18+H18+J18+L18+N18+P18+R18</f>
        <v>0</v>
      </c>
      <c r="AK5" s="444">
        <f t="shared" si="2"/>
        <v>-12</v>
      </c>
      <c r="AL5" s="445"/>
      <c r="AM5" s="10">
        <f>AH3</f>
        <v>33</v>
      </c>
      <c r="AN5" s="10">
        <f>AI6</f>
        <v>0</v>
      </c>
      <c r="AO5" s="10">
        <f>AJ4</f>
        <v>0</v>
      </c>
      <c r="AP5" s="9">
        <f t="shared" si="3"/>
        <v>33</v>
      </c>
    </row>
    <row r="6" spans="2:47" ht="24" customHeight="1" thickBot="1">
      <c r="B6" s="142">
        <v>4</v>
      </c>
      <c r="C6" s="440" t="str">
        <f>IF(GROUPS!H12="","",GROUPS!H12)</f>
        <v/>
      </c>
      <c r="D6" s="441"/>
      <c r="E6" s="44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54</v>
      </c>
      <c r="Q7" s="153">
        <f>SUM(Q3:Q6)</f>
        <v>54</v>
      </c>
    </row>
    <row r="8" spans="2:47" ht="19.5" thickBot="1">
      <c r="B8" s="430" t="s">
        <v>7</v>
      </c>
      <c r="C8" s="435"/>
      <c r="D8" s="435"/>
      <c r="E8" s="431"/>
      <c r="F8" s="436" t="s">
        <v>8</v>
      </c>
      <c r="G8" s="437"/>
      <c r="H8" s="433" t="s">
        <v>9</v>
      </c>
      <c r="I8" s="437"/>
      <c r="J8" s="433" t="s">
        <v>10</v>
      </c>
      <c r="K8" s="437"/>
      <c r="L8" s="433" t="s">
        <v>11</v>
      </c>
      <c r="M8" s="437"/>
      <c r="N8" s="433" t="s">
        <v>12</v>
      </c>
      <c r="O8" s="437"/>
      <c r="P8" s="433" t="s">
        <v>13</v>
      </c>
      <c r="Q8" s="437"/>
      <c r="R8" s="433" t="s">
        <v>14</v>
      </c>
      <c r="S8" s="434"/>
      <c r="T8" s="430" t="s">
        <v>15</v>
      </c>
      <c r="U8" s="431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Васко Манасијески (36)</v>
      </c>
      <c r="D9" s="156">
        <v>3</v>
      </c>
      <c r="E9" s="157" t="str">
        <f>IF(C5="","",VLOOKUP(D9,$B$3:$E$6,2,FALSE))</f>
        <v>Александар Арсов (237)</v>
      </c>
      <c r="F9" s="158">
        <v>11</v>
      </c>
      <c r="G9" s="159">
        <v>5</v>
      </c>
      <c r="H9" s="160">
        <v>11</v>
      </c>
      <c r="I9" s="159">
        <v>8</v>
      </c>
      <c r="J9" s="158">
        <v>11</v>
      </c>
      <c r="K9" s="161">
        <v>8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Борче Талевски (253)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0" t="s">
        <v>16</v>
      </c>
      <c r="C12" s="435"/>
      <c r="D12" s="435"/>
      <c r="E12" s="431"/>
      <c r="F12" s="436" t="s">
        <v>8</v>
      </c>
      <c r="G12" s="437"/>
      <c r="H12" s="433" t="s">
        <v>9</v>
      </c>
      <c r="I12" s="437"/>
      <c r="J12" s="433" t="s">
        <v>10</v>
      </c>
      <c r="K12" s="437"/>
      <c r="L12" s="433" t="s">
        <v>11</v>
      </c>
      <c r="M12" s="437"/>
      <c r="N12" s="433" t="s">
        <v>12</v>
      </c>
      <c r="O12" s="437"/>
      <c r="P12" s="433" t="s">
        <v>13</v>
      </c>
      <c r="Q12" s="437"/>
      <c r="R12" s="433" t="s">
        <v>14</v>
      </c>
      <c r="S12" s="434"/>
      <c r="T12" s="430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>Васко Манасијески (36)</v>
      </c>
      <c r="D13" s="156">
        <v>2</v>
      </c>
      <c r="E13" s="157" t="str">
        <f>IF(C4="","",VLOOKUP(D13,$B$3:$E$6,2,FALSE))</f>
        <v>Борче Талевски (253)</v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Александар Арсов (237)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0" t="s">
        <v>17</v>
      </c>
      <c r="C16" s="435"/>
      <c r="D16" s="435"/>
      <c r="E16" s="431"/>
      <c r="F16" s="436" t="s">
        <v>8</v>
      </c>
      <c r="G16" s="437"/>
      <c r="H16" s="433" t="s">
        <v>9</v>
      </c>
      <c r="I16" s="437"/>
      <c r="J16" s="433" t="s">
        <v>10</v>
      </c>
      <c r="K16" s="437"/>
      <c r="L16" s="433" t="s">
        <v>11</v>
      </c>
      <c r="M16" s="437"/>
      <c r="N16" s="433" t="s">
        <v>12</v>
      </c>
      <c r="O16" s="437"/>
      <c r="P16" s="433" t="s">
        <v>13</v>
      </c>
      <c r="Q16" s="437"/>
      <c r="R16" s="433" t="s">
        <v>14</v>
      </c>
      <c r="S16" s="434"/>
      <c r="T16" s="430" t="s">
        <v>15</v>
      </c>
      <c r="U16" s="431"/>
    </row>
    <row r="17" spans="2:41">
      <c r="B17" s="154">
        <v>1</v>
      </c>
      <c r="C17" s="155" t="str">
        <f>IF(C3="","",VLOOKUP(B17,$B$3:$E$6,2,FALSE))</f>
        <v>Васко Манасијески (36)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Александар Арсов (237)</v>
      </c>
      <c r="D18" s="166">
        <v>2</v>
      </c>
      <c r="E18" s="167" t="str">
        <f>IF(C4="","",VLOOKUP(D18,$B$3:$E$6,2,FALSE))</f>
        <v>Борче Талевски (253)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AR15" sqref="AR1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9" t="s">
        <v>1</v>
      </c>
      <c r="R1" s="459"/>
      <c r="S1" s="459"/>
      <c r="T1" s="459"/>
      <c r="U1" s="45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81" t="s">
        <v>3</v>
      </c>
      <c r="D2" s="481"/>
      <c r="E2" s="482"/>
      <c r="F2" s="466">
        <v>1</v>
      </c>
      <c r="G2" s="464"/>
      <c r="H2" s="465">
        <v>2</v>
      </c>
      <c r="I2" s="464"/>
      <c r="J2" s="465">
        <v>3</v>
      </c>
      <c r="K2" s="464"/>
      <c r="L2" s="465">
        <v>4</v>
      </c>
      <c r="M2" s="466"/>
      <c r="N2" s="467" t="s">
        <v>4</v>
      </c>
      <c r="O2" s="468"/>
      <c r="P2" s="469" t="s">
        <v>84</v>
      </c>
      <c r="Q2" s="470"/>
      <c r="R2" s="471" t="s">
        <v>5</v>
      </c>
      <c r="S2" s="471"/>
      <c r="T2" s="126" t="s">
        <v>6</v>
      </c>
      <c r="W2" s="7">
        <v>1</v>
      </c>
      <c r="X2" s="453" t="str">
        <f>IF(ISERROR(INDEX($C$3:$C$6,MATCH(W2,$T$3:$T$6,0))),"",(INDEX($C$3:$C$6,MATCH(W2,$T$3:$T$6,0))))</f>
        <v>Сашко Богатинов (69)</v>
      </c>
      <c r="Y2" s="454"/>
      <c r="Z2" s="455"/>
      <c r="AB2" s="456" t="s">
        <v>85</v>
      </c>
      <c r="AC2" s="456"/>
      <c r="AD2" s="456"/>
      <c r="AE2" s="456"/>
      <c r="AG2" s="6" t="s">
        <v>86</v>
      </c>
      <c r="AK2" s="457" t="s">
        <v>87</v>
      </c>
      <c r="AL2" s="457"/>
      <c r="AP2" s="6" t="s">
        <v>88</v>
      </c>
    </row>
    <row r="3" spans="2:47" ht="24" customHeight="1">
      <c r="B3" s="234">
        <v>1</v>
      </c>
      <c r="C3" s="478" t="str">
        <f>IF(GROUPS!J9="","",GROUPS!J9)</f>
        <v>Сашко Богатинов (69)</v>
      </c>
      <c r="D3" s="478"/>
      <c r="E3" s="479"/>
      <c r="F3" s="231"/>
      <c r="G3" s="129"/>
      <c r="H3" s="130" t="str">
        <f>T13</f>
        <v/>
      </c>
      <c r="I3" s="131" t="str">
        <f>U13</f>
        <v/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1</v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78</v>
      </c>
      <c r="Q3" s="137">
        <f>IF(AND(T9="",T13="",T17=""),"",AP3)</f>
        <v>54</v>
      </c>
      <c r="R3" s="449">
        <f>IF(ISERROR(IF(AND(T9="",T13="",T17=""),"",SUM(AB3:AD3)+(N3-O3)/1000)+(AK3/10000)),"",IF(AND(T9="",T13="",T17=""),"",SUM(AB3:AD3)+(N3-O3)/1000)+(AK3/10000)+(AG3/100000))</f>
        <v>4.0081799999999994</v>
      </c>
      <c r="S3" s="449"/>
      <c r="T3" s="138">
        <f>IF(ISERROR(IF(C3="","",RANK(R3,$R$3:$S$6,0))),"",IF(C3="","",RANK(R3,$R$3:$S$6,0)))</f>
        <v>1</v>
      </c>
      <c r="U3" s="9"/>
      <c r="V3" s="9"/>
      <c r="W3" s="7">
        <v>2</v>
      </c>
      <c r="X3" s="453" t="str">
        <f t="shared" ref="X3:X5" si="0">IF(ISERROR(INDEX($C$3:$C$6,MATCH(W3,$T$3:$T$6,0))),"",(INDEX($C$3:$C$6,MATCH(W3,$T$3:$T$6,0))))</f>
        <v>Мирослав Симиќ (55)</v>
      </c>
      <c r="Y3" s="454"/>
      <c r="Z3" s="455"/>
      <c r="AB3" s="10" t="str">
        <f>IF(H3="","",IF(H3&gt;I3,2,1))</f>
        <v/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78</v>
      </c>
      <c r="AH3" s="10">
        <f>F9+H9+J9+L9+N9+P9+R9</f>
        <v>33</v>
      </c>
      <c r="AI3" s="10">
        <f>F13+H13+J13+L13+N13+P13+R13</f>
        <v>0</v>
      </c>
      <c r="AJ3" s="10">
        <f>F17+H17+J17+L17+N17+P17+R17</f>
        <v>45</v>
      </c>
      <c r="AK3" s="444">
        <f>SUM(AH3:AJ3)-SUM(AM3:AO3)</f>
        <v>24</v>
      </c>
      <c r="AL3" s="445"/>
      <c r="AM3" s="10">
        <f>AH5</f>
        <v>18</v>
      </c>
      <c r="AN3" s="10">
        <f>AI4</f>
        <v>0</v>
      </c>
      <c r="AO3" s="10">
        <f>AJ6</f>
        <v>36</v>
      </c>
      <c r="AP3" s="9">
        <f>SUM(AM3:AO3)</f>
        <v>54</v>
      </c>
    </row>
    <row r="4" spans="2:47" ht="24" customHeight="1">
      <c r="B4" s="234">
        <v>2</v>
      </c>
      <c r="C4" s="478" t="str">
        <f>IF(GROUPS!J10="","",GROUPS!J10)</f>
        <v>Горјан Никифоровски (38)</v>
      </c>
      <c r="D4" s="478"/>
      <c r="E4" s="47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9" t="str">
        <f>IF(ISERROR(IF(AND(T10="",U13="",U18=""),"",SUM(AB4:AD4)+(N4-O4)/1000)+(AK4/10000)+(AG4/100000)),"",IF(AND(T10="",U13="",U18=""),"",SUM(AB4:AD4)+(N4-O4)/1000)+(AK4/10000)+(AG4/100000))</f>
        <v/>
      </c>
      <c r="S4" s="44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0" t="str">
        <f t="shared" si="0"/>
        <v>Пеце Јованоски (121)</v>
      </c>
      <c r="Y4" s="451"/>
      <c r="Z4" s="45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4">
        <f t="shared" ref="AK4:AK6" si="2">SUM(AH4:AJ4)-SUM(AM4:AO4)</f>
        <v>0</v>
      </c>
      <c r="AL4" s="44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8" t="str">
        <f>IF(GROUPS!J11="","",GROUPS!J11)</f>
        <v>Мирослав Симиќ (55)</v>
      </c>
      <c r="D5" s="478"/>
      <c r="E5" s="479"/>
      <c r="F5" s="232">
        <f>U9</f>
        <v>0</v>
      </c>
      <c r="G5" s="132">
        <f>T9</f>
        <v>3</v>
      </c>
      <c r="H5" s="130" t="str">
        <f>T18</f>
        <v/>
      </c>
      <c r="I5" s="132" t="str">
        <f>U18</f>
        <v/>
      </c>
      <c r="J5" s="140"/>
      <c r="K5" s="129"/>
      <c r="L5" s="130">
        <f>T14</f>
        <v>3</v>
      </c>
      <c r="M5" s="141">
        <f>U14</f>
        <v>2</v>
      </c>
      <c r="N5" s="134">
        <f>IF(AND(U9="",T14="",T18=""),"",SUM(F5,H5,L5))</f>
        <v>3</v>
      </c>
      <c r="O5" s="135">
        <f>IF(AND(U9="",T14="",T18=""),"",SUM(G5,I5,M5))</f>
        <v>5</v>
      </c>
      <c r="P5" s="136">
        <f>IF(AND(U9="",T14="",T18=""),"",AG5)</f>
        <v>63</v>
      </c>
      <c r="Q5" s="137">
        <f>IF(AND(U9="",T14="",T18=""),"",AP5)</f>
        <v>81</v>
      </c>
      <c r="R5" s="449">
        <f>IF(ISERROR(IF(AND(U9="",T14="",T18=""),"",SUM(AB5:AD5)+(N5-O5)/1000)+(AK5/10000)+(AG5/100000)),"",IF(AND(U9="",T14="",T18=""),"",SUM(AB5:AD5)+(N5-O5)/1000)+(AK5/10000)+(AG5/100000))</f>
        <v>2.9968300000000005</v>
      </c>
      <c r="S5" s="449"/>
      <c r="T5" s="138">
        <f>IF(ISERROR(IF(C5="","",RANK(R5,$R$3:$S$6,0))),"",IF(C5="","",RANK(R5,$R$3:$S$6,0)))</f>
        <v>2</v>
      </c>
      <c r="U5" s="9"/>
      <c r="V5" s="9"/>
      <c r="W5" s="7">
        <v>4</v>
      </c>
      <c r="X5" s="450" t="str">
        <f t="shared" si="0"/>
        <v/>
      </c>
      <c r="Y5" s="451"/>
      <c r="Z5" s="452"/>
      <c r="AB5" s="10">
        <f t="shared" ref="AB5:AB6" si="4">IF(F5="","",IF(F5&gt;G5,2,1))</f>
        <v>1</v>
      </c>
      <c r="AC5" s="10" t="str">
        <f>IF(H5="","",IF(H5&gt;I5,2,1))</f>
        <v/>
      </c>
      <c r="AD5" s="10">
        <f>IF(L5="","",IF(L5&gt;M5,2,1))</f>
        <v>2</v>
      </c>
      <c r="AE5" s="216"/>
      <c r="AG5" s="11">
        <f t="shared" si="1"/>
        <v>63</v>
      </c>
      <c r="AH5" s="10">
        <f>G9+I9+K9+M9+O9+Q9+S9</f>
        <v>18</v>
      </c>
      <c r="AI5" s="10">
        <f>F14+H14+J14+L14+N14+P14+R14</f>
        <v>45</v>
      </c>
      <c r="AJ5" s="10">
        <f>F18+H18+J18+L18+N18+P18+R18</f>
        <v>0</v>
      </c>
      <c r="AK5" s="444">
        <f t="shared" si="2"/>
        <v>-18</v>
      </c>
      <c r="AL5" s="445"/>
      <c r="AM5" s="10">
        <f>AH3</f>
        <v>33</v>
      </c>
      <c r="AN5" s="10">
        <f>AI6</f>
        <v>48</v>
      </c>
      <c r="AO5" s="10">
        <f>AJ4</f>
        <v>0</v>
      </c>
      <c r="AP5" s="9">
        <f t="shared" si="3"/>
        <v>81</v>
      </c>
    </row>
    <row r="6" spans="2:47" ht="24" customHeight="1" thickBot="1">
      <c r="B6" s="235">
        <v>4</v>
      </c>
      <c r="C6" s="483" t="str">
        <f>IF(GROUPS!J12="","",GROUPS!J12)</f>
        <v>Пеце Јованоски (121)</v>
      </c>
      <c r="D6" s="483"/>
      <c r="E6" s="484"/>
      <c r="F6" s="233">
        <f>U17</f>
        <v>1</v>
      </c>
      <c r="G6" s="144">
        <f>T17</f>
        <v>3</v>
      </c>
      <c r="H6" s="145" t="str">
        <f>U10</f>
        <v/>
      </c>
      <c r="I6" s="144" t="str">
        <f>T10</f>
        <v/>
      </c>
      <c r="J6" s="145">
        <f>U14</f>
        <v>2</v>
      </c>
      <c r="K6" s="144">
        <f>T14</f>
        <v>3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6</v>
      </c>
      <c r="P6" s="150">
        <f>IF(AND(U10="",U14="",U17=""),"",AG6)</f>
        <v>84</v>
      </c>
      <c r="Q6" s="151">
        <f>IF(AND(U10="",U14="",U17=""),"",AP6)</f>
        <v>90</v>
      </c>
      <c r="R6" s="443">
        <f>IF(ISERROR(IF(AND(U10="",U14="",U17=""),"",SUM(AB6:AD6)+(N6-O6)/1000)+(AK6/10000)+(AG6/100000)),"",IF(AND(U10="",U14="",U17=""),"",SUM(AB6:AD6)+(N6-O6)/1000)+(AK6/10000)+(AG6/100000))</f>
        <v>1.9972400000000001</v>
      </c>
      <c r="S6" s="443"/>
      <c r="T6" s="152">
        <f>IF(ISERROR(IF(C6="","",RANK(R6,$R$3:$S$6,0))),"",IF(C6="","",RANK(R6,$R$3:$S$6,0)))</f>
        <v>3</v>
      </c>
      <c r="AB6" s="10">
        <f t="shared" si="4"/>
        <v>1</v>
      </c>
      <c r="AC6" s="10" t="str">
        <f>IF(H6="","",IF(H6&gt;I6,2,1))</f>
        <v/>
      </c>
      <c r="AD6" s="10">
        <f>IF(J6="","",IF(J6&gt;K6,2,1))</f>
        <v>1</v>
      </c>
      <c r="AE6" s="216"/>
      <c r="AG6" s="11">
        <f t="shared" si="1"/>
        <v>84</v>
      </c>
      <c r="AH6" s="10">
        <f>G10+I10+K10+M10+O10+Q10+S10</f>
        <v>0</v>
      </c>
      <c r="AI6" s="10">
        <f>G14+I14+K14+M14+O14+Q14+S14</f>
        <v>48</v>
      </c>
      <c r="AJ6" s="10">
        <f>G17+I17+K17+M17+O17+Q17+S17</f>
        <v>36</v>
      </c>
      <c r="AK6" s="444">
        <f t="shared" si="2"/>
        <v>-6</v>
      </c>
      <c r="AL6" s="445"/>
      <c r="AM6" s="10">
        <f>AH4</f>
        <v>0</v>
      </c>
      <c r="AN6" s="10">
        <f>AI5</f>
        <v>45</v>
      </c>
      <c r="AO6" s="10">
        <f>AJ3</f>
        <v>45</v>
      </c>
      <c r="AP6" s="9">
        <f t="shared" si="3"/>
        <v>90</v>
      </c>
    </row>
    <row r="7" spans="2:47" ht="19.5" thickBot="1">
      <c r="P7" s="153">
        <f>SUM(P3:P6)</f>
        <v>225</v>
      </c>
      <c r="Q7" s="153">
        <f>SUM(Q3:Q6)</f>
        <v>225</v>
      </c>
    </row>
    <row r="8" spans="2:47" ht="19.5" thickBot="1">
      <c r="B8" s="430" t="s">
        <v>7</v>
      </c>
      <c r="C8" s="435"/>
      <c r="D8" s="435"/>
      <c r="E8" s="431"/>
      <c r="F8" s="436" t="s">
        <v>8</v>
      </c>
      <c r="G8" s="437"/>
      <c r="H8" s="433" t="s">
        <v>9</v>
      </c>
      <c r="I8" s="437"/>
      <c r="J8" s="433" t="s">
        <v>10</v>
      </c>
      <c r="K8" s="437"/>
      <c r="L8" s="433" t="s">
        <v>11</v>
      </c>
      <c r="M8" s="437"/>
      <c r="N8" s="433" t="s">
        <v>12</v>
      </c>
      <c r="O8" s="437"/>
      <c r="P8" s="433" t="s">
        <v>13</v>
      </c>
      <c r="Q8" s="437"/>
      <c r="R8" s="433" t="s">
        <v>14</v>
      </c>
      <c r="S8" s="434"/>
      <c r="T8" s="430" t="s">
        <v>15</v>
      </c>
      <c r="U8" s="431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Сашко Богатинов (69)</v>
      </c>
      <c r="D9" s="156">
        <v>3</v>
      </c>
      <c r="E9" s="157" t="str">
        <f>IF(C5="","",VLOOKUP(D9,$B$3:$E$6,2,FALSE))</f>
        <v>Мирослав Симиќ (55)</v>
      </c>
      <c r="F9" s="158">
        <v>11</v>
      </c>
      <c r="G9" s="159">
        <v>4</v>
      </c>
      <c r="H9" s="160">
        <v>11</v>
      </c>
      <c r="I9" s="159">
        <v>5</v>
      </c>
      <c r="J9" s="158">
        <v>11</v>
      </c>
      <c r="K9" s="161">
        <v>9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Горјан Никифоровски (38)</v>
      </c>
      <c r="D10" s="166">
        <v>4</v>
      </c>
      <c r="E10" s="167" t="str">
        <f>IF(C6="","",VLOOKUP(D10,$B$3:$E$6,2,FALSE))</f>
        <v>Пеце Јованоски (121)</v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0" t="s">
        <v>16</v>
      </c>
      <c r="C12" s="435"/>
      <c r="D12" s="435"/>
      <c r="E12" s="431"/>
      <c r="F12" s="436" t="s">
        <v>8</v>
      </c>
      <c r="G12" s="437"/>
      <c r="H12" s="433" t="s">
        <v>9</v>
      </c>
      <c r="I12" s="437"/>
      <c r="J12" s="433" t="s">
        <v>10</v>
      </c>
      <c r="K12" s="437"/>
      <c r="L12" s="433" t="s">
        <v>11</v>
      </c>
      <c r="M12" s="437"/>
      <c r="N12" s="433" t="s">
        <v>12</v>
      </c>
      <c r="O12" s="437"/>
      <c r="P12" s="433" t="s">
        <v>13</v>
      </c>
      <c r="Q12" s="437"/>
      <c r="R12" s="433" t="s">
        <v>14</v>
      </c>
      <c r="S12" s="434"/>
      <c r="T12" s="430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>Сашко Богатинов (69)</v>
      </c>
      <c r="D13" s="156">
        <v>2</v>
      </c>
      <c r="E13" s="157" t="str">
        <f>IF(C4="","",VLOOKUP(D13,$B$3:$E$6,2,FALSE))</f>
        <v>Горјан Никифоровски (38)</v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Мирослав Симиќ (55)</v>
      </c>
      <c r="D14" s="166">
        <v>4</v>
      </c>
      <c r="E14" s="167" t="str">
        <f>IF(C6="","",VLOOKUP(D14,$B$3:$E$6,2,FALSE))</f>
        <v>Пеце Јованоски (121)</v>
      </c>
      <c r="F14" s="168">
        <v>5</v>
      </c>
      <c r="G14" s="169">
        <v>11</v>
      </c>
      <c r="H14" s="170">
        <v>7</v>
      </c>
      <c r="I14" s="169">
        <v>11</v>
      </c>
      <c r="J14" s="168">
        <v>11</v>
      </c>
      <c r="K14" s="171">
        <v>8</v>
      </c>
      <c r="L14" s="170">
        <v>11</v>
      </c>
      <c r="M14" s="169">
        <v>9</v>
      </c>
      <c r="N14" s="168">
        <v>11</v>
      </c>
      <c r="O14" s="171">
        <v>9</v>
      </c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2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1</v>
      </c>
      <c r="AI14" s="10">
        <f>IF(M14="","",IF(M14&gt;L14,1,0))</f>
        <v>0</v>
      </c>
      <c r="AJ14" s="10">
        <f>IF(N14="","",IF(N14&gt;O14,1,0))</f>
        <v>1</v>
      </c>
      <c r="AK14" s="10">
        <f>IF(O14="","",IF(O14&gt;N14,1,0))</f>
        <v>0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0" t="s">
        <v>17</v>
      </c>
      <c r="C16" s="435"/>
      <c r="D16" s="435"/>
      <c r="E16" s="431"/>
      <c r="F16" s="436" t="s">
        <v>8</v>
      </c>
      <c r="G16" s="437"/>
      <c r="H16" s="433" t="s">
        <v>9</v>
      </c>
      <c r="I16" s="437"/>
      <c r="J16" s="433" t="s">
        <v>10</v>
      </c>
      <c r="K16" s="437"/>
      <c r="L16" s="433" t="s">
        <v>11</v>
      </c>
      <c r="M16" s="437"/>
      <c r="N16" s="433" t="s">
        <v>12</v>
      </c>
      <c r="O16" s="437"/>
      <c r="P16" s="433" t="s">
        <v>13</v>
      </c>
      <c r="Q16" s="437"/>
      <c r="R16" s="433" t="s">
        <v>14</v>
      </c>
      <c r="S16" s="434"/>
      <c r="T16" s="430" t="s">
        <v>15</v>
      </c>
      <c r="U16" s="431"/>
    </row>
    <row r="17" spans="2:41">
      <c r="B17" s="154">
        <v>1</v>
      </c>
      <c r="C17" s="155" t="str">
        <f>IF(C3="","",VLOOKUP(B17,$B$3:$E$6,2,FALSE))</f>
        <v>Сашко Богатинов (69)</v>
      </c>
      <c r="D17" s="156">
        <v>4</v>
      </c>
      <c r="E17" s="157" t="str">
        <f>IF(C6="","",VLOOKUP(D17,$B$3:$E$6,2,FALSE))</f>
        <v>Пеце Јованоски (121)</v>
      </c>
      <c r="F17" s="158">
        <v>11</v>
      </c>
      <c r="G17" s="159">
        <v>5</v>
      </c>
      <c r="H17" s="160">
        <v>11</v>
      </c>
      <c r="I17" s="159">
        <v>8</v>
      </c>
      <c r="J17" s="158">
        <v>9</v>
      </c>
      <c r="K17" s="161">
        <v>11</v>
      </c>
      <c r="L17" s="160">
        <v>14</v>
      </c>
      <c r="M17" s="159">
        <v>12</v>
      </c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1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0</v>
      </c>
      <c r="AG17" s="10">
        <f>IF(K17="","",IF(K17&gt;J17,1,0))</f>
        <v>1</v>
      </c>
      <c r="AH17" s="10">
        <f>IF(L17="","",IF(L17&gt;M17,1,0))</f>
        <v>1</v>
      </c>
      <c r="AI17" s="10">
        <f>IF(M17="","",IF(M17&gt;L17,1,0))</f>
        <v>0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Мирослав Симиќ (55)</v>
      </c>
      <c r="D18" s="166">
        <v>2</v>
      </c>
      <c r="E18" s="167" t="str">
        <f>IF(C4="","",VLOOKUP(D18,$B$3:$E$6,2,FALSE))</f>
        <v>Горјан Никифоровски (38)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AQ13" sqref="AQ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9" t="s">
        <v>1</v>
      </c>
      <c r="R1" s="459"/>
      <c r="S1" s="459"/>
      <c r="T1" s="459"/>
      <c r="U1" s="45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81" t="s">
        <v>3</v>
      </c>
      <c r="D2" s="481"/>
      <c r="E2" s="482"/>
      <c r="F2" s="466">
        <v>1</v>
      </c>
      <c r="G2" s="464"/>
      <c r="H2" s="465">
        <v>2</v>
      </c>
      <c r="I2" s="464"/>
      <c r="J2" s="465">
        <v>3</v>
      </c>
      <c r="K2" s="464"/>
      <c r="L2" s="465">
        <v>4</v>
      </c>
      <c r="M2" s="466"/>
      <c r="N2" s="467" t="s">
        <v>4</v>
      </c>
      <c r="O2" s="468"/>
      <c r="P2" s="469" t="s">
        <v>84</v>
      </c>
      <c r="Q2" s="470"/>
      <c r="R2" s="471" t="s">
        <v>5</v>
      </c>
      <c r="S2" s="471"/>
      <c r="T2" s="126" t="s">
        <v>6</v>
      </c>
      <c r="W2" s="7">
        <v>1</v>
      </c>
      <c r="X2" s="453" t="str">
        <f>IF(ISERROR(INDEX($C$3:$C$6,MATCH(W2,$T$3:$T$6,0))),"",(INDEX($C$3:$C$6,MATCH(W2,$T$3:$T$6,0))))</f>
        <v>Ѓоко Јочкоски  (33)</v>
      </c>
      <c r="Y2" s="454"/>
      <c r="Z2" s="455"/>
      <c r="AB2" s="456" t="s">
        <v>85</v>
      </c>
      <c r="AC2" s="456"/>
      <c r="AD2" s="456"/>
      <c r="AE2" s="456"/>
      <c r="AG2" s="6" t="s">
        <v>86</v>
      </c>
      <c r="AK2" s="457" t="s">
        <v>87</v>
      </c>
      <c r="AL2" s="457"/>
      <c r="AP2" s="6" t="s">
        <v>88</v>
      </c>
    </row>
    <row r="3" spans="2:47" ht="24" customHeight="1">
      <c r="B3" s="234">
        <v>1</v>
      </c>
      <c r="C3" s="478" t="str">
        <f>IF(GROUPS!D14="","",GROUPS!D14)</f>
        <v>Антонио Стомнароски (458)</v>
      </c>
      <c r="D3" s="478"/>
      <c r="E3" s="479"/>
      <c r="F3" s="231"/>
      <c r="G3" s="129"/>
      <c r="H3" s="130">
        <f>T13</f>
        <v>3</v>
      </c>
      <c r="I3" s="131">
        <f>U13</f>
        <v>2</v>
      </c>
      <c r="J3" s="130">
        <f>T9</f>
        <v>0</v>
      </c>
      <c r="K3" s="132">
        <f>U9</f>
        <v>3</v>
      </c>
      <c r="L3" s="130">
        <f>T17</f>
        <v>3</v>
      </c>
      <c r="M3" s="133">
        <f>U17</f>
        <v>0</v>
      </c>
      <c r="N3" s="134">
        <f>IF(AND(T9="",T13="",T17=""),"",SUM(H3,J3,L3))</f>
        <v>6</v>
      </c>
      <c r="O3" s="135">
        <f>IF(AND(T9="",T13="",T17=""),"",SUM(I3,K3,M3))</f>
        <v>5</v>
      </c>
      <c r="P3" s="136">
        <f>IF(AND(T9="",T13="",T17=""),"",AG3)</f>
        <v>90</v>
      </c>
      <c r="Q3" s="137">
        <f>IF(AND(T9="",T13="",T17=""),"",AP3)</f>
        <v>81</v>
      </c>
      <c r="R3" s="449">
        <f>IF(ISERROR(IF(AND(T9="",T13="",T17=""),"",SUM(AB3:AD3)+(N3-O3)/1000)+(AK3/10000)),"",IF(AND(T9="",T13="",T17=""),"",SUM(AB3:AD3)+(N3-O3)/1000)+(AK3/10000)+(AG3/100000))</f>
        <v>5.0027999999999997</v>
      </c>
      <c r="S3" s="449"/>
      <c r="T3" s="138">
        <f>IF(ISERROR(IF(C3="","",RANK(R3,$R$3:$S$6,0))),"",IF(C3="","",RANK(R3,$R$3:$S$6,0)))</f>
        <v>2</v>
      </c>
      <c r="U3" s="9"/>
      <c r="V3" s="9"/>
      <c r="W3" s="7">
        <v>2</v>
      </c>
      <c r="X3" s="453" t="str">
        <f t="shared" ref="X3:X5" si="0">IF(ISERROR(INDEX($C$3:$C$6,MATCH(W3,$T$3:$T$6,0))),"",(INDEX($C$3:$C$6,MATCH(W3,$T$3:$T$6,0))))</f>
        <v>Антонио Стомнароски (458)</v>
      </c>
      <c r="Y3" s="454"/>
      <c r="Z3" s="455"/>
      <c r="AB3" s="10">
        <f>IF(H3="","",IF(H3&gt;I3,2,1))</f>
        <v>2</v>
      </c>
      <c r="AC3" s="10">
        <f>IF(J3="","",IF(J3&gt;K3,2,1))</f>
        <v>1</v>
      </c>
      <c r="AD3" s="10">
        <f>IF(L3="","",IF(L3&gt;M3,2,1))</f>
        <v>2</v>
      </c>
      <c r="AE3" s="216"/>
      <c r="AG3" s="11">
        <f>SUM(AH3:AJ3)</f>
        <v>90</v>
      </c>
      <c r="AH3" s="10">
        <f>F9+H9+J9+L9+N9+P9+R9</f>
        <v>7</v>
      </c>
      <c r="AI3" s="10">
        <f>F13+H13+J13+L13+N13+P13+R13</f>
        <v>50</v>
      </c>
      <c r="AJ3" s="10">
        <f>F17+H17+J17+L17+N17+P17+R17</f>
        <v>33</v>
      </c>
      <c r="AK3" s="444">
        <f>SUM(AH3:AJ3)-SUM(AM3:AO3)</f>
        <v>9</v>
      </c>
      <c r="AL3" s="445"/>
      <c r="AM3" s="10">
        <f>AH5</f>
        <v>33</v>
      </c>
      <c r="AN3" s="10">
        <f>AI4</f>
        <v>43</v>
      </c>
      <c r="AO3" s="10">
        <f>AJ6</f>
        <v>5</v>
      </c>
      <c r="AP3" s="9">
        <f>SUM(AM3:AO3)</f>
        <v>81</v>
      </c>
    </row>
    <row r="4" spans="2:47" ht="24" customHeight="1">
      <c r="B4" s="234">
        <v>2</v>
      </c>
      <c r="C4" s="478" t="str">
        <f>IF(GROUPS!D15="","",GROUPS!D15)</f>
        <v>Мартин Стаменковски (95)</v>
      </c>
      <c r="D4" s="478"/>
      <c r="E4" s="479"/>
      <c r="F4" s="232">
        <f>U13</f>
        <v>2</v>
      </c>
      <c r="G4" s="132">
        <f>T13</f>
        <v>3</v>
      </c>
      <c r="H4" s="140"/>
      <c r="I4" s="129"/>
      <c r="J4" s="130">
        <f>U18</f>
        <v>1</v>
      </c>
      <c r="K4" s="132">
        <f>T18</f>
        <v>3</v>
      </c>
      <c r="L4" s="130">
        <f>T10</f>
        <v>3</v>
      </c>
      <c r="M4" s="141">
        <f>U10</f>
        <v>1</v>
      </c>
      <c r="N4" s="134">
        <f>IF(AND(T10="",U13="",U18=""),"",SUM(F4,J4,L4))</f>
        <v>6</v>
      </c>
      <c r="O4" s="135">
        <f>IF(AND(T10="",U13="",U18=""),"",SUM(G4,K4,M4))</f>
        <v>7</v>
      </c>
      <c r="P4" s="136">
        <f>IF(AND(T10="",U13="",U18=""),"",AG4)</f>
        <v>113</v>
      </c>
      <c r="Q4" s="137">
        <f>IF(AND(T10="",U13="",U18=""),"",AP4)</f>
        <v>127</v>
      </c>
      <c r="R4" s="449">
        <f>IF(ISERROR(IF(AND(T10="",U13="",U18=""),"",SUM(AB4:AD4)+(N4-O4)/1000)+(AK4/10000)+(AG4/100000)),"",IF(AND(T10="",U13="",U18=""),"",SUM(AB4:AD4)+(N4-O4)/1000)+(AK4/10000)+(AG4/100000))</f>
        <v>3.9987300000000001</v>
      </c>
      <c r="S4" s="449"/>
      <c r="T4" s="138">
        <f>IF(ISERROR(IF(C4="","",RANK(R4,$R$3:$S$6,0))),"",IF(C4="","",RANK(R4,$R$3:$S$6,0)))</f>
        <v>3</v>
      </c>
      <c r="U4" s="9"/>
      <c r="V4" s="9"/>
      <c r="W4" s="7">
        <v>3</v>
      </c>
      <c r="X4" s="450" t="str">
        <f t="shared" si="0"/>
        <v>Мартин Стаменковски (95)</v>
      </c>
      <c r="Y4" s="451"/>
      <c r="Z4" s="452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216"/>
      <c r="AG4" s="11">
        <f t="shared" ref="AG4:AG6" si="1">SUM(AH4:AJ4)</f>
        <v>113</v>
      </c>
      <c r="AH4" s="10">
        <f>F10+H10+J10+L10+N10+P10+R10</f>
        <v>44</v>
      </c>
      <c r="AI4" s="10">
        <f>G13+I13+K13+M13+O13+Q13+S13</f>
        <v>43</v>
      </c>
      <c r="AJ4" s="10">
        <f>G18+I18+K18+M18+O18+Q18+S18</f>
        <v>26</v>
      </c>
      <c r="AK4" s="444">
        <f t="shared" ref="AK4:AK6" si="2">SUM(AH4:AJ4)-SUM(AM4:AO4)</f>
        <v>-14</v>
      </c>
      <c r="AL4" s="445"/>
      <c r="AM4" s="10">
        <f>AH6</f>
        <v>37</v>
      </c>
      <c r="AN4" s="10">
        <f>AI3</f>
        <v>50</v>
      </c>
      <c r="AO4" s="10">
        <f>AJ5</f>
        <v>40</v>
      </c>
      <c r="AP4" s="9">
        <f t="shared" ref="AP4:AP6" si="3">SUM(AM4:AO4)</f>
        <v>127</v>
      </c>
    </row>
    <row r="5" spans="2:47" ht="24" customHeight="1">
      <c r="B5" s="234">
        <v>3</v>
      </c>
      <c r="C5" s="478" t="str">
        <f>IF(GROUPS!D16="","",GROUPS!D16)</f>
        <v>Ѓоко Јочкоски  (33)</v>
      </c>
      <c r="D5" s="478"/>
      <c r="E5" s="479"/>
      <c r="F5" s="232">
        <f>U9</f>
        <v>3</v>
      </c>
      <c r="G5" s="132">
        <f>T9</f>
        <v>0</v>
      </c>
      <c r="H5" s="130">
        <f>T18</f>
        <v>3</v>
      </c>
      <c r="I5" s="132">
        <f>U18</f>
        <v>1</v>
      </c>
      <c r="J5" s="140"/>
      <c r="K5" s="129"/>
      <c r="L5" s="130">
        <f>T14</f>
        <v>3</v>
      </c>
      <c r="M5" s="141">
        <f>U14</f>
        <v>2</v>
      </c>
      <c r="N5" s="134">
        <f>IF(AND(U9="",T14="",T18=""),"",SUM(F5,H5,L5))</f>
        <v>9</v>
      </c>
      <c r="O5" s="135">
        <f>IF(AND(U9="",T14="",T18=""),"",SUM(G5,I5,M5))</f>
        <v>3</v>
      </c>
      <c r="P5" s="136">
        <f>IF(AND(U9="",T14="",T18=""),"",AG5)</f>
        <v>127</v>
      </c>
      <c r="Q5" s="137">
        <f>IF(AND(U9="",T14="",T18=""),"",AP5)</f>
        <v>74</v>
      </c>
      <c r="R5" s="449">
        <f>IF(ISERROR(IF(AND(U9="",T14="",T18=""),"",SUM(AB5:AD5)+(N5-O5)/1000)+(AK5/10000)+(AG5/100000)),"",IF(AND(U9="",T14="",T18=""),"",SUM(AB5:AD5)+(N5-O5)/1000)+(AK5/10000)+(AG5/100000))</f>
        <v>6.0125700000000002</v>
      </c>
      <c r="S5" s="449"/>
      <c r="T5" s="138">
        <f>IF(ISERROR(IF(C5="","",RANK(R5,$R$3:$S$6,0))),"",IF(C5="","",RANK(R5,$R$3:$S$6,0)))</f>
        <v>1</v>
      </c>
      <c r="U5" s="9"/>
      <c r="V5" s="9"/>
      <c r="W5" s="7">
        <v>4</v>
      </c>
      <c r="X5" s="450" t="str">
        <f t="shared" si="0"/>
        <v>Ристо Темелков (57)</v>
      </c>
      <c r="Y5" s="451"/>
      <c r="Z5" s="452"/>
      <c r="AB5" s="10">
        <f t="shared" ref="AB5:AB6" si="4">IF(F5="","",IF(F5&gt;G5,2,1))</f>
        <v>2</v>
      </c>
      <c r="AC5" s="10">
        <f>IF(H5="","",IF(H5&gt;I5,2,1))</f>
        <v>2</v>
      </c>
      <c r="AD5" s="10">
        <f>IF(L5="","",IF(L5&gt;M5,2,1))</f>
        <v>2</v>
      </c>
      <c r="AE5" s="216"/>
      <c r="AG5" s="11">
        <f t="shared" si="1"/>
        <v>127</v>
      </c>
      <c r="AH5" s="10">
        <f>G9+I9+K9+M9+O9+Q9+S9</f>
        <v>33</v>
      </c>
      <c r="AI5" s="10">
        <f>F14+H14+J14+L14+N14+P14+R14</f>
        <v>54</v>
      </c>
      <c r="AJ5" s="10">
        <f>F18+H18+J18+L18+N18+P18+R18</f>
        <v>40</v>
      </c>
      <c r="AK5" s="444">
        <f t="shared" si="2"/>
        <v>53</v>
      </c>
      <c r="AL5" s="445"/>
      <c r="AM5" s="10">
        <f>AH3</f>
        <v>7</v>
      </c>
      <c r="AN5" s="10">
        <f>AI6</f>
        <v>41</v>
      </c>
      <c r="AO5" s="10">
        <f>AJ4</f>
        <v>26</v>
      </c>
      <c r="AP5" s="9">
        <f t="shared" si="3"/>
        <v>74</v>
      </c>
    </row>
    <row r="6" spans="2:47" ht="24" customHeight="1" thickBot="1">
      <c r="B6" s="235">
        <v>4</v>
      </c>
      <c r="C6" s="483" t="str">
        <f>IF(GROUPS!D17="","",GROUPS!D17)</f>
        <v>Ристо Темелков (57)</v>
      </c>
      <c r="D6" s="483"/>
      <c r="E6" s="484"/>
      <c r="F6" s="233">
        <f>U17</f>
        <v>0</v>
      </c>
      <c r="G6" s="144">
        <f>T17</f>
        <v>3</v>
      </c>
      <c r="H6" s="145">
        <f>U10</f>
        <v>1</v>
      </c>
      <c r="I6" s="144">
        <f>T10</f>
        <v>3</v>
      </c>
      <c r="J6" s="145">
        <f>U14</f>
        <v>2</v>
      </c>
      <c r="K6" s="144">
        <f>T14</f>
        <v>3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9</v>
      </c>
      <c r="P6" s="150">
        <f>IF(AND(U10="",U14="",U17=""),"",AG6)</f>
        <v>83</v>
      </c>
      <c r="Q6" s="151">
        <f>IF(AND(U10="",U14="",U17=""),"",AP6)</f>
        <v>131</v>
      </c>
      <c r="R6" s="443">
        <f>IF(ISERROR(IF(AND(U10="",U14="",U17=""),"",SUM(AB6:AD6)+(N6-O6)/1000)+(AK6/10000)+(AG6/100000)),"",IF(AND(U10="",U14="",U17=""),"",SUM(AB6:AD6)+(N6-O6)/1000)+(AK6/10000)+(AG6/100000))</f>
        <v>2.9900300000000004</v>
      </c>
      <c r="S6" s="443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83</v>
      </c>
      <c r="AH6" s="10">
        <f>G10+I10+K10+M10+O10+Q10+S10</f>
        <v>37</v>
      </c>
      <c r="AI6" s="10">
        <f>G14+I14+K14+M14+O14+Q14+S14</f>
        <v>41</v>
      </c>
      <c r="AJ6" s="10">
        <f>G17+I17+K17+M17+O17+Q17+S17</f>
        <v>5</v>
      </c>
      <c r="AK6" s="444">
        <f t="shared" si="2"/>
        <v>-48</v>
      </c>
      <c r="AL6" s="445"/>
      <c r="AM6" s="10">
        <f>AH4</f>
        <v>44</v>
      </c>
      <c r="AN6" s="10">
        <f>AI5</f>
        <v>54</v>
      </c>
      <c r="AO6" s="10">
        <f>AJ3</f>
        <v>33</v>
      </c>
      <c r="AP6" s="9">
        <f t="shared" si="3"/>
        <v>131</v>
      </c>
    </row>
    <row r="7" spans="2:47" ht="19.5" thickBot="1">
      <c r="P7" s="153">
        <f>SUM(P3:P6)</f>
        <v>413</v>
      </c>
      <c r="Q7" s="153">
        <f>SUM(Q3:Q6)</f>
        <v>413</v>
      </c>
    </row>
    <row r="8" spans="2:47" ht="19.5" thickBot="1">
      <c r="B8" s="430" t="s">
        <v>7</v>
      </c>
      <c r="C8" s="435"/>
      <c r="D8" s="435"/>
      <c r="E8" s="431"/>
      <c r="F8" s="436" t="s">
        <v>8</v>
      </c>
      <c r="G8" s="437"/>
      <c r="H8" s="433" t="s">
        <v>9</v>
      </c>
      <c r="I8" s="437"/>
      <c r="J8" s="433" t="s">
        <v>10</v>
      </c>
      <c r="K8" s="437"/>
      <c r="L8" s="433" t="s">
        <v>11</v>
      </c>
      <c r="M8" s="437"/>
      <c r="N8" s="433" t="s">
        <v>12</v>
      </c>
      <c r="O8" s="437"/>
      <c r="P8" s="433" t="s">
        <v>13</v>
      </c>
      <c r="Q8" s="437"/>
      <c r="R8" s="433" t="s">
        <v>14</v>
      </c>
      <c r="S8" s="434"/>
      <c r="T8" s="430" t="s">
        <v>15</v>
      </c>
      <c r="U8" s="431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Антонио Стомнароски (458)</v>
      </c>
      <c r="D9" s="156">
        <v>3</v>
      </c>
      <c r="E9" s="157" t="str">
        <f>IF(C5="","",VLOOKUP(D9,$B$3:$E$6,2,FALSE))</f>
        <v>Ѓоко Јочкоски  (33)</v>
      </c>
      <c r="F9" s="158">
        <v>3</v>
      </c>
      <c r="G9" s="159">
        <v>11</v>
      </c>
      <c r="H9" s="160">
        <v>4</v>
      </c>
      <c r="I9" s="159">
        <v>11</v>
      </c>
      <c r="J9" s="158">
        <v>0</v>
      </c>
      <c r="K9" s="161">
        <v>11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0</v>
      </c>
      <c r="U9" s="163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0</v>
      </c>
      <c r="AG9" s="10">
        <f>IF(K9="","",IF(K9&gt;J9,1,0))</f>
        <v>1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Мартин Стаменковски (95)</v>
      </c>
      <c r="D10" s="166">
        <v>4</v>
      </c>
      <c r="E10" s="167" t="str">
        <f>IF(C6="","",VLOOKUP(D10,$B$3:$E$6,2,FALSE))</f>
        <v>Ристо Темелков (57)</v>
      </c>
      <c r="F10" s="168">
        <v>11</v>
      </c>
      <c r="G10" s="169">
        <v>8</v>
      </c>
      <c r="H10" s="170">
        <v>6</v>
      </c>
      <c r="I10" s="169">
        <v>11</v>
      </c>
      <c r="J10" s="168">
        <v>11</v>
      </c>
      <c r="K10" s="171">
        <v>4</v>
      </c>
      <c r="L10" s="170">
        <v>16</v>
      </c>
      <c r="M10" s="169">
        <v>14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0" t="s">
        <v>16</v>
      </c>
      <c r="C12" s="435"/>
      <c r="D12" s="435"/>
      <c r="E12" s="431"/>
      <c r="F12" s="436" t="s">
        <v>8</v>
      </c>
      <c r="G12" s="437"/>
      <c r="H12" s="433" t="s">
        <v>9</v>
      </c>
      <c r="I12" s="437"/>
      <c r="J12" s="433" t="s">
        <v>10</v>
      </c>
      <c r="K12" s="437"/>
      <c r="L12" s="433" t="s">
        <v>11</v>
      </c>
      <c r="M12" s="437"/>
      <c r="N12" s="433" t="s">
        <v>12</v>
      </c>
      <c r="O12" s="437"/>
      <c r="P12" s="433" t="s">
        <v>13</v>
      </c>
      <c r="Q12" s="437"/>
      <c r="R12" s="433" t="s">
        <v>14</v>
      </c>
      <c r="S12" s="434"/>
      <c r="T12" s="430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>Антонио Стомнароски (458)</v>
      </c>
      <c r="D13" s="156">
        <v>2</v>
      </c>
      <c r="E13" s="157" t="str">
        <f>IF(C4="","",VLOOKUP(D13,$B$3:$E$6,2,FALSE))</f>
        <v>Мартин Стаменковски (95)</v>
      </c>
      <c r="F13" s="158">
        <v>8</v>
      </c>
      <c r="G13" s="159">
        <v>11</v>
      </c>
      <c r="H13" s="160">
        <v>11</v>
      </c>
      <c r="I13" s="159">
        <v>9</v>
      </c>
      <c r="J13" s="158">
        <v>11</v>
      </c>
      <c r="K13" s="161">
        <v>6</v>
      </c>
      <c r="L13" s="160">
        <v>9</v>
      </c>
      <c r="M13" s="159">
        <v>11</v>
      </c>
      <c r="N13" s="158">
        <v>11</v>
      </c>
      <c r="O13" s="161">
        <v>6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Ѓоко Јочкоски  (33)</v>
      </c>
      <c r="D14" s="166">
        <v>4</v>
      </c>
      <c r="E14" s="167" t="str">
        <f>IF(C6="","",VLOOKUP(D14,$B$3:$E$6,2,FALSE))</f>
        <v>Ристо Темелков (57)</v>
      </c>
      <c r="F14" s="168">
        <v>11</v>
      </c>
      <c r="G14" s="169">
        <v>6</v>
      </c>
      <c r="H14" s="170">
        <v>12</v>
      </c>
      <c r="I14" s="169">
        <v>14</v>
      </c>
      <c r="J14" s="168">
        <v>9</v>
      </c>
      <c r="K14" s="171">
        <v>11</v>
      </c>
      <c r="L14" s="170">
        <v>11</v>
      </c>
      <c r="M14" s="169">
        <v>3</v>
      </c>
      <c r="N14" s="168">
        <v>11</v>
      </c>
      <c r="O14" s="171">
        <v>7</v>
      </c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2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1</v>
      </c>
      <c r="AI14" s="10">
        <f>IF(M14="","",IF(M14&gt;L14,1,0))</f>
        <v>0</v>
      </c>
      <c r="AJ14" s="10">
        <f>IF(N14="","",IF(N14&gt;O14,1,0))</f>
        <v>1</v>
      </c>
      <c r="AK14" s="10">
        <f>IF(O14="","",IF(O14&gt;N14,1,0))</f>
        <v>0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0" t="s">
        <v>17</v>
      </c>
      <c r="C16" s="435"/>
      <c r="D16" s="435"/>
      <c r="E16" s="431"/>
      <c r="F16" s="436" t="s">
        <v>8</v>
      </c>
      <c r="G16" s="437"/>
      <c r="H16" s="433" t="s">
        <v>9</v>
      </c>
      <c r="I16" s="437"/>
      <c r="J16" s="433" t="s">
        <v>10</v>
      </c>
      <c r="K16" s="437"/>
      <c r="L16" s="433" t="s">
        <v>11</v>
      </c>
      <c r="M16" s="437"/>
      <c r="N16" s="433" t="s">
        <v>12</v>
      </c>
      <c r="O16" s="437"/>
      <c r="P16" s="433" t="s">
        <v>13</v>
      </c>
      <c r="Q16" s="437"/>
      <c r="R16" s="433" t="s">
        <v>14</v>
      </c>
      <c r="S16" s="434"/>
      <c r="T16" s="430" t="s">
        <v>15</v>
      </c>
      <c r="U16" s="431"/>
    </row>
    <row r="17" spans="2:41">
      <c r="B17" s="154">
        <v>1</v>
      </c>
      <c r="C17" s="155" t="str">
        <f>IF(C3="","",VLOOKUP(B17,$B$3:$E$6,2,FALSE))</f>
        <v>Антонио Стомнароски (458)</v>
      </c>
      <c r="D17" s="156">
        <v>4</v>
      </c>
      <c r="E17" s="157" t="str">
        <f>IF(C6="","",VLOOKUP(D17,$B$3:$E$6,2,FALSE))</f>
        <v>Ристо Темелков (57)</v>
      </c>
      <c r="F17" s="158">
        <v>11</v>
      </c>
      <c r="G17" s="159">
        <v>5</v>
      </c>
      <c r="H17" s="160">
        <v>11</v>
      </c>
      <c r="I17" s="159">
        <v>0</v>
      </c>
      <c r="J17" s="158">
        <v>11</v>
      </c>
      <c r="K17" s="161">
        <v>0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Ѓоко Јочкоски  (33)</v>
      </c>
      <c r="D18" s="166">
        <v>2</v>
      </c>
      <c r="E18" s="167" t="str">
        <f>IF(C4="","",VLOOKUP(D18,$B$3:$E$6,2,FALSE))</f>
        <v>Мартин Стаменковски (95)</v>
      </c>
      <c r="F18" s="168">
        <v>11</v>
      </c>
      <c r="G18" s="169">
        <v>5</v>
      </c>
      <c r="H18" s="170">
        <v>7</v>
      </c>
      <c r="I18" s="169">
        <v>11</v>
      </c>
      <c r="J18" s="168">
        <v>11</v>
      </c>
      <c r="K18" s="171">
        <v>2</v>
      </c>
      <c r="L18" s="170">
        <v>11</v>
      </c>
      <c r="M18" s="169">
        <v>8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Z17" sqref="Z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9" t="s">
        <v>1</v>
      </c>
      <c r="R1" s="459"/>
      <c r="S1" s="459"/>
      <c r="T1" s="459"/>
      <c r="U1" s="45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87" t="s">
        <v>3</v>
      </c>
      <c r="D2" s="481"/>
      <c r="E2" s="482"/>
      <c r="F2" s="466">
        <v>1</v>
      </c>
      <c r="G2" s="464"/>
      <c r="H2" s="465">
        <v>2</v>
      </c>
      <c r="I2" s="464"/>
      <c r="J2" s="465">
        <v>3</v>
      </c>
      <c r="K2" s="464"/>
      <c r="L2" s="465">
        <v>4</v>
      </c>
      <c r="M2" s="466"/>
      <c r="N2" s="467" t="s">
        <v>4</v>
      </c>
      <c r="O2" s="468"/>
      <c r="P2" s="469" t="s">
        <v>84</v>
      </c>
      <c r="Q2" s="470"/>
      <c r="R2" s="471" t="s">
        <v>5</v>
      </c>
      <c r="S2" s="471"/>
      <c r="T2" s="126" t="s">
        <v>6</v>
      </c>
      <c r="W2" s="7">
        <v>1</v>
      </c>
      <c r="X2" s="453" t="str">
        <f>IF(ISERROR(INDEX($C$3:$C$6,MATCH(W2,$T$3:$T$6,0))),"",(INDEX($C$3:$C$6,MATCH(W2,$T$3:$T$6,0))))</f>
        <v>Димитрие Жоговски (126)</v>
      </c>
      <c r="Y2" s="454"/>
      <c r="Z2" s="455"/>
      <c r="AB2" s="456" t="s">
        <v>85</v>
      </c>
      <c r="AC2" s="456"/>
      <c r="AD2" s="456"/>
      <c r="AE2" s="456"/>
      <c r="AG2" s="6" t="s">
        <v>86</v>
      </c>
      <c r="AK2" s="457" t="s">
        <v>87</v>
      </c>
      <c r="AL2" s="457"/>
      <c r="AP2" s="6" t="s">
        <v>88</v>
      </c>
    </row>
    <row r="3" spans="2:47" ht="24" customHeight="1">
      <c r="B3" s="127">
        <v>1</v>
      </c>
      <c r="C3" s="486" t="str">
        <f>IF(GROUPS!F14="","",GROUPS!F14)</f>
        <v>Петар Митков (99)</v>
      </c>
      <c r="D3" s="478"/>
      <c r="E3" s="479"/>
      <c r="F3" s="231"/>
      <c r="G3" s="129"/>
      <c r="H3" s="130">
        <f>T13</f>
        <v>0</v>
      </c>
      <c r="I3" s="131">
        <f>U13</f>
        <v>3</v>
      </c>
      <c r="J3" s="130">
        <f>T9</f>
        <v>3</v>
      </c>
      <c r="K3" s="132">
        <f>U9</f>
        <v>0</v>
      </c>
      <c r="L3" s="130">
        <f>T17</f>
        <v>2</v>
      </c>
      <c r="M3" s="133">
        <f>U17</f>
        <v>3</v>
      </c>
      <c r="N3" s="134">
        <f>IF(AND(T9="",T13="",T17=""),"",SUM(H3,J3,L3))</f>
        <v>5</v>
      </c>
      <c r="O3" s="135">
        <f>IF(AND(T9="",T13="",T17=""),"",SUM(I3,K3,M3))</f>
        <v>6</v>
      </c>
      <c r="P3" s="136">
        <f>IF(AND(T9="",T13="",T17=""),"",AG3)</f>
        <v>101</v>
      </c>
      <c r="Q3" s="137">
        <f>IF(AND(T9="",T13="",T17=""),"",AP3)</f>
        <v>103</v>
      </c>
      <c r="R3" s="449">
        <f>IF(ISERROR(IF(AND(T9="",T13="",T17=""),"",SUM(AB3:AD3)+(N3-O3)/1000)+(AK3/10000)),"",IF(AND(T9="",T13="",T17=""),"",SUM(AB3:AD3)+(N3-O3)/1000)+(AK3/10000)+(AG3/100000))</f>
        <v>3.9998100000000001</v>
      </c>
      <c r="S3" s="449"/>
      <c r="T3" s="138">
        <f>IF(ISERROR(IF(C3="","",RANK(R3,$R$3:$S$6,0))),"",IF(C3="","",RANK(R3,$R$3:$S$6,0)))</f>
        <v>3</v>
      </c>
      <c r="U3" s="9"/>
      <c r="V3" s="9"/>
      <c r="W3" s="7">
        <v>2</v>
      </c>
      <c r="X3" s="453" t="str">
        <f t="shared" ref="X3:X5" si="0">IF(ISERROR(INDEX($C$3:$C$6,MATCH(W3,$T$3:$T$6,0))),"",(INDEX($C$3:$C$6,MATCH(W3,$T$3:$T$6,0))))</f>
        <v>Игор Саздов (62)</v>
      </c>
      <c r="Y3" s="454"/>
      <c r="Z3" s="455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1</v>
      </c>
      <c r="AE3" s="216"/>
      <c r="AG3" s="11">
        <f>SUM(AH3:AJ3)</f>
        <v>101</v>
      </c>
      <c r="AH3" s="10">
        <f>F9+H9+J9+L9+N9+P9+R9</f>
        <v>33</v>
      </c>
      <c r="AI3" s="10">
        <f>F13+H13+J13+L13+N13+P13+R13</f>
        <v>24</v>
      </c>
      <c r="AJ3" s="10">
        <f>F17+H17+J17+L17+N17+P17+R17</f>
        <v>44</v>
      </c>
      <c r="AK3" s="444">
        <f>SUM(AH3:AJ3)-SUM(AM3:AO3)</f>
        <v>-2</v>
      </c>
      <c r="AL3" s="445"/>
      <c r="AM3" s="10">
        <f>AH5</f>
        <v>20</v>
      </c>
      <c r="AN3" s="10">
        <f>AI4</f>
        <v>35</v>
      </c>
      <c r="AO3" s="10">
        <f>AJ6</f>
        <v>48</v>
      </c>
      <c r="AP3" s="9">
        <f>SUM(AM3:AO3)</f>
        <v>103</v>
      </c>
    </row>
    <row r="4" spans="2:47" ht="24" customHeight="1">
      <c r="B4" s="127">
        <v>2</v>
      </c>
      <c r="C4" s="486" t="str">
        <f>IF(GROUPS!F15="","",GROUPS!F15)</f>
        <v>Димитрие Жоговски (126)</v>
      </c>
      <c r="D4" s="478"/>
      <c r="E4" s="479"/>
      <c r="F4" s="232">
        <f>U13</f>
        <v>3</v>
      </c>
      <c r="G4" s="132">
        <f>T13</f>
        <v>0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9</v>
      </c>
      <c r="O4" s="135">
        <f>IF(AND(T10="",U13="",U18=""),"",SUM(G4,K4,M4))</f>
        <v>0</v>
      </c>
      <c r="P4" s="136">
        <f>IF(AND(T10="",U13="",U18=""),"",AG4)</f>
        <v>102</v>
      </c>
      <c r="Q4" s="137">
        <f>IF(AND(T10="",U13="",U18=""),"",AP4)</f>
        <v>72</v>
      </c>
      <c r="R4" s="449">
        <f>IF(ISERROR(IF(AND(T10="",U13="",U18=""),"",SUM(AB4:AD4)+(N4-O4)/1000)+(AK4/10000)+(AG4/100000)),"",IF(AND(T10="",U13="",U18=""),"",SUM(AB4:AD4)+(N4-O4)/1000)+(AK4/10000)+(AG4/100000))</f>
        <v>6.01302</v>
      </c>
      <c r="S4" s="449"/>
      <c r="T4" s="138">
        <f>IF(ISERROR(IF(C4="","",RANK(R4,$R$3:$S$6,0))),"",IF(C4="","",RANK(R4,$R$3:$S$6,0)))</f>
        <v>1</v>
      </c>
      <c r="U4" s="9"/>
      <c r="V4" s="9"/>
      <c r="W4" s="7">
        <v>3</v>
      </c>
      <c r="X4" s="450" t="str">
        <f t="shared" si="0"/>
        <v>Петар Митков (99)</v>
      </c>
      <c r="Y4" s="451"/>
      <c r="Z4" s="452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102</v>
      </c>
      <c r="AH4" s="10">
        <f>F10+H10+J10+L10+N10+P10+R10</f>
        <v>34</v>
      </c>
      <c r="AI4" s="10">
        <f>G13+I13+K13+M13+O13+Q13+S13</f>
        <v>35</v>
      </c>
      <c r="AJ4" s="10">
        <f>G18+I18+K18+M18+O18+Q18+S18</f>
        <v>33</v>
      </c>
      <c r="AK4" s="444">
        <f t="shared" ref="AK4:AK6" si="2">SUM(AH4:AJ4)-SUM(AM4:AO4)</f>
        <v>30</v>
      </c>
      <c r="AL4" s="445"/>
      <c r="AM4" s="10">
        <f>AH6</f>
        <v>23</v>
      </c>
      <c r="AN4" s="10">
        <f>AI3</f>
        <v>24</v>
      </c>
      <c r="AO4" s="10">
        <f>AJ5</f>
        <v>25</v>
      </c>
      <c r="AP4" s="9">
        <f t="shared" ref="AP4:AP6" si="3">SUM(AM4:AO4)</f>
        <v>72</v>
      </c>
    </row>
    <row r="5" spans="2:47" ht="24" customHeight="1">
      <c r="B5" s="127">
        <v>3</v>
      </c>
      <c r="C5" s="486" t="str">
        <f>IF(GROUPS!F16="","",GROUPS!F16)</f>
        <v>Венко Стојанов (49)</v>
      </c>
      <c r="D5" s="478"/>
      <c r="E5" s="479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2</v>
      </c>
      <c r="M5" s="141">
        <f>U14</f>
        <v>3</v>
      </c>
      <c r="N5" s="134">
        <f>IF(AND(U9="",T14="",T18=""),"",SUM(F5,H5,L5))</f>
        <v>2</v>
      </c>
      <c r="O5" s="135">
        <f>IF(AND(U9="",T14="",T18=""),"",SUM(G5,I5,M5))</f>
        <v>9</v>
      </c>
      <c r="P5" s="136">
        <f>IF(AND(U9="",T14="",T18=""),"",AG5)</f>
        <v>97</v>
      </c>
      <c r="Q5" s="137">
        <f>IF(AND(U9="",T14="",T18=""),"",AP5)</f>
        <v>113</v>
      </c>
      <c r="R5" s="449">
        <f>IF(ISERROR(IF(AND(U9="",T14="",T18=""),"",SUM(AB5:AD5)+(N5-O5)/1000)+(AK5/10000)+(AG5/100000)),"",IF(AND(U9="",T14="",T18=""),"",SUM(AB5:AD5)+(N5-O5)/1000)+(AK5/10000)+(AG5/100000))</f>
        <v>2.9923700000000002</v>
      </c>
      <c r="S5" s="449"/>
      <c r="T5" s="138">
        <f>IF(ISERROR(IF(C5="","",RANK(R5,$R$3:$S$6,0))),"",IF(C5="","",RANK(R5,$R$3:$S$6,0)))</f>
        <v>4</v>
      </c>
      <c r="U5" s="9"/>
      <c r="V5" s="9"/>
      <c r="W5" s="7">
        <v>4</v>
      </c>
      <c r="X5" s="450" t="str">
        <f t="shared" si="0"/>
        <v>Венко Стојанов (49)</v>
      </c>
      <c r="Y5" s="451"/>
      <c r="Z5" s="452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97</v>
      </c>
      <c r="AH5" s="10">
        <f>G9+I9+K9+M9+O9+Q9+S9</f>
        <v>20</v>
      </c>
      <c r="AI5" s="10">
        <f>F14+H14+J14+L14+N14+P14+R14</f>
        <v>52</v>
      </c>
      <c r="AJ5" s="10">
        <f>F18+H18+J18+L18+N18+P18+R18</f>
        <v>25</v>
      </c>
      <c r="AK5" s="444">
        <f t="shared" si="2"/>
        <v>-16</v>
      </c>
      <c r="AL5" s="445"/>
      <c r="AM5" s="10">
        <f>AH3</f>
        <v>33</v>
      </c>
      <c r="AN5" s="10">
        <f>AI6</f>
        <v>47</v>
      </c>
      <c r="AO5" s="10">
        <f>AJ4</f>
        <v>33</v>
      </c>
      <c r="AP5" s="9">
        <f t="shared" si="3"/>
        <v>113</v>
      </c>
    </row>
    <row r="6" spans="2:47" ht="24" customHeight="1" thickBot="1">
      <c r="B6" s="142">
        <v>4</v>
      </c>
      <c r="C6" s="485" t="str">
        <f>IF(GROUPS!F17="","",GROUPS!F17)</f>
        <v>Игор Саздов (62)</v>
      </c>
      <c r="D6" s="483"/>
      <c r="E6" s="484"/>
      <c r="F6" s="233">
        <f>U17</f>
        <v>3</v>
      </c>
      <c r="G6" s="144">
        <f>T17</f>
        <v>2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2</v>
      </c>
      <c r="L6" s="146"/>
      <c r="M6" s="147"/>
      <c r="N6" s="148">
        <f>IF(AND(U10="",U14="",U17=""),"",SUM(F6,H6,J6))</f>
        <v>6</v>
      </c>
      <c r="O6" s="149">
        <f>IF(AND(U10="",U14="",U17=""),"",SUM(G6,I6,K6))</f>
        <v>7</v>
      </c>
      <c r="P6" s="150">
        <f>IF(AND(U10="",U14="",U17=""),"",AG6)</f>
        <v>118</v>
      </c>
      <c r="Q6" s="151">
        <f>IF(AND(U10="",U14="",U17=""),"",AP6)</f>
        <v>130</v>
      </c>
      <c r="R6" s="443">
        <f>IF(ISERROR(IF(AND(U10="",U14="",U17=""),"",SUM(AB6:AD6)+(N6-O6)/1000)+(AK6/10000)+(AG6/100000)),"",IF(AND(U10="",U14="",U17=""),"",SUM(AB6:AD6)+(N6-O6)/1000)+(AK6/10000)+(AG6/100000))</f>
        <v>4.9989799999999995</v>
      </c>
      <c r="S6" s="443"/>
      <c r="T6" s="152">
        <f>IF(ISERROR(IF(C6="","",RANK(R6,$R$3:$S$6,0))),"",IF(C6="","",RANK(R6,$R$3:$S$6,0)))</f>
        <v>2</v>
      </c>
      <c r="AB6" s="10">
        <f t="shared" si="4"/>
        <v>2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118</v>
      </c>
      <c r="AH6" s="10">
        <f>G10+I10+K10+M10+O10+Q10+S10</f>
        <v>23</v>
      </c>
      <c r="AI6" s="10">
        <f>G14+I14+K14+M14+O14+Q14+S14</f>
        <v>47</v>
      </c>
      <c r="AJ6" s="10">
        <f>G17+I17+K17+M17+O17+Q17+S17</f>
        <v>48</v>
      </c>
      <c r="AK6" s="444">
        <f t="shared" si="2"/>
        <v>-12</v>
      </c>
      <c r="AL6" s="445"/>
      <c r="AM6" s="10">
        <f>AH4</f>
        <v>34</v>
      </c>
      <c r="AN6" s="10">
        <f>AI5</f>
        <v>52</v>
      </c>
      <c r="AO6" s="10">
        <f>AJ3</f>
        <v>44</v>
      </c>
      <c r="AP6" s="9">
        <f t="shared" si="3"/>
        <v>130</v>
      </c>
    </row>
    <row r="7" spans="2:47" ht="19.5" thickBot="1">
      <c r="P7" s="153">
        <f>SUM(P3:P6)</f>
        <v>418</v>
      </c>
      <c r="Q7" s="153">
        <f>SUM(Q3:Q6)</f>
        <v>418</v>
      </c>
    </row>
    <row r="8" spans="2:47" ht="19.5" thickBot="1">
      <c r="B8" s="430" t="s">
        <v>7</v>
      </c>
      <c r="C8" s="435"/>
      <c r="D8" s="435"/>
      <c r="E8" s="431"/>
      <c r="F8" s="436" t="s">
        <v>8</v>
      </c>
      <c r="G8" s="437"/>
      <c r="H8" s="433" t="s">
        <v>9</v>
      </c>
      <c r="I8" s="437"/>
      <c r="J8" s="433" t="s">
        <v>10</v>
      </c>
      <c r="K8" s="437"/>
      <c r="L8" s="433" t="s">
        <v>11</v>
      </c>
      <c r="M8" s="437"/>
      <c r="N8" s="433" t="s">
        <v>12</v>
      </c>
      <c r="O8" s="437"/>
      <c r="P8" s="433" t="s">
        <v>13</v>
      </c>
      <c r="Q8" s="437"/>
      <c r="R8" s="433" t="s">
        <v>14</v>
      </c>
      <c r="S8" s="434"/>
      <c r="T8" s="430" t="s">
        <v>15</v>
      </c>
      <c r="U8" s="431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Петар Митков (99)</v>
      </c>
      <c r="D9" s="156">
        <v>3</v>
      </c>
      <c r="E9" s="157" t="str">
        <f>IF(C5="","",VLOOKUP(D9,$B$3:$E$6,2,FALSE))</f>
        <v>Венко Стојанов (49)</v>
      </c>
      <c r="F9" s="158">
        <v>11</v>
      </c>
      <c r="G9" s="159">
        <v>8</v>
      </c>
      <c r="H9" s="160">
        <v>11</v>
      </c>
      <c r="I9" s="159">
        <v>8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Димитрие Жоговски (126)</v>
      </c>
      <c r="D10" s="166">
        <v>4</v>
      </c>
      <c r="E10" s="167" t="str">
        <f>IF(C6="","",VLOOKUP(D10,$B$3:$E$6,2,FALSE))</f>
        <v>Игор Саздов (62)</v>
      </c>
      <c r="F10" s="168">
        <v>12</v>
      </c>
      <c r="G10" s="169">
        <v>10</v>
      </c>
      <c r="H10" s="170">
        <v>11</v>
      </c>
      <c r="I10" s="169">
        <v>7</v>
      </c>
      <c r="J10" s="168">
        <v>11</v>
      </c>
      <c r="K10" s="171">
        <v>6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0" t="s">
        <v>16</v>
      </c>
      <c r="C12" s="435"/>
      <c r="D12" s="435"/>
      <c r="E12" s="431"/>
      <c r="F12" s="436" t="s">
        <v>8</v>
      </c>
      <c r="G12" s="437"/>
      <c r="H12" s="433" t="s">
        <v>9</v>
      </c>
      <c r="I12" s="437"/>
      <c r="J12" s="433" t="s">
        <v>10</v>
      </c>
      <c r="K12" s="437"/>
      <c r="L12" s="433" t="s">
        <v>11</v>
      </c>
      <c r="M12" s="437"/>
      <c r="N12" s="433" t="s">
        <v>12</v>
      </c>
      <c r="O12" s="437"/>
      <c r="P12" s="433" t="s">
        <v>13</v>
      </c>
      <c r="Q12" s="437"/>
      <c r="R12" s="433" t="s">
        <v>14</v>
      </c>
      <c r="S12" s="434"/>
      <c r="T12" s="430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>Петар Митков (99)</v>
      </c>
      <c r="D13" s="156">
        <v>2</v>
      </c>
      <c r="E13" s="157" t="str">
        <f>IF(C4="","",VLOOKUP(D13,$B$3:$E$6,2,FALSE))</f>
        <v>Димитрие Жоговски (126)</v>
      </c>
      <c r="F13" s="158">
        <v>11</v>
      </c>
      <c r="G13" s="159">
        <v>13</v>
      </c>
      <c r="H13" s="160">
        <v>7</v>
      </c>
      <c r="I13" s="159">
        <v>11</v>
      </c>
      <c r="J13" s="158">
        <v>6</v>
      </c>
      <c r="K13" s="161">
        <v>11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0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Венко Стојанов (49)</v>
      </c>
      <c r="D14" s="166">
        <v>4</v>
      </c>
      <c r="E14" s="167" t="str">
        <f>IF(C6="","",VLOOKUP(D14,$B$3:$E$6,2,FALSE))</f>
        <v>Игор Саздов (62)</v>
      </c>
      <c r="F14" s="168">
        <v>11</v>
      </c>
      <c r="G14" s="169">
        <v>9</v>
      </c>
      <c r="H14" s="170">
        <v>11</v>
      </c>
      <c r="I14" s="169">
        <v>2</v>
      </c>
      <c r="J14" s="168">
        <v>10</v>
      </c>
      <c r="K14" s="171">
        <v>12</v>
      </c>
      <c r="L14" s="170">
        <v>9</v>
      </c>
      <c r="M14" s="169">
        <v>11</v>
      </c>
      <c r="N14" s="168">
        <v>11</v>
      </c>
      <c r="O14" s="171">
        <v>13</v>
      </c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2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>
        <f>IF(N14="","",IF(N14&gt;O14,1,0))</f>
        <v>0</v>
      </c>
      <c r="AK14" s="10">
        <f>IF(O14="","",IF(O14&gt;N14,1,0))</f>
        <v>1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0" t="s">
        <v>17</v>
      </c>
      <c r="C16" s="435"/>
      <c r="D16" s="435"/>
      <c r="E16" s="431"/>
      <c r="F16" s="436" t="s">
        <v>8</v>
      </c>
      <c r="G16" s="437"/>
      <c r="H16" s="433" t="s">
        <v>9</v>
      </c>
      <c r="I16" s="437"/>
      <c r="J16" s="433" t="s">
        <v>10</v>
      </c>
      <c r="K16" s="437"/>
      <c r="L16" s="433" t="s">
        <v>11</v>
      </c>
      <c r="M16" s="437"/>
      <c r="N16" s="433" t="s">
        <v>12</v>
      </c>
      <c r="O16" s="437"/>
      <c r="P16" s="433" t="s">
        <v>13</v>
      </c>
      <c r="Q16" s="437"/>
      <c r="R16" s="433" t="s">
        <v>14</v>
      </c>
      <c r="S16" s="434"/>
      <c r="T16" s="430" t="s">
        <v>15</v>
      </c>
      <c r="U16" s="431"/>
    </row>
    <row r="17" spans="2:41">
      <c r="B17" s="154">
        <v>1</v>
      </c>
      <c r="C17" s="155" t="str">
        <f>IF(C3="","",VLOOKUP(B17,$B$3:$E$6,2,FALSE))</f>
        <v>Петар Митков (99)</v>
      </c>
      <c r="D17" s="156">
        <v>4</v>
      </c>
      <c r="E17" s="157" t="str">
        <f>IF(C6="","",VLOOKUP(D17,$B$3:$E$6,2,FALSE))</f>
        <v>Игор Саздов (62)</v>
      </c>
      <c r="F17" s="158">
        <v>11</v>
      </c>
      <c r="G17" s="159">
        <v>8</v>
      </c>
      <c r="H17" s="160">
        <v>11</v>
      </c>
      <c r="I17" s="159">
        <v>5</v>
      </c>
      <c r="J17" s="158">
        <v>5</v>
      </c>
      <c r="K17" s="161">
        <v>11</v>
      </c>
      <c r="L17" s="160">
        <v>11</v>
      </c>
      <c r="M17" s="159">
        <v>13</v>
      </c>
      <c r="N17" s="158">
        <v>6</v>
      </c>
      <c r="O17" s="161">
        <v>11</v>
      </c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2</v>
      </c>
      <c r="U17" s="163">
        <f>IF(F17="","",SUM(SUMPRODUCT(--(F17&lt;G17)),SUMPRODUCT(--(H17&lt;I17)),SUMPRODUCT(--(J17&lt;K17)),SUMPRODUCT(--(L17&lt;M17)),SUMPRODUCT(--(N17&lt;O17)),SUMPRODUCT(--(P17&lt;Q17)),SUMPRODUCT(--(R17&lt;S17))))</f>
        <v>3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0</v>
      </c>
      <c r="AG17" s="10">
        <f>IF(K17="","",IF(K17&gt;J17,1,0))</f>
        <v>1</v>
      </c>
      <c r="AH17" s="10">
        <f>IF(L17="","",IF(L17&gt;M17,1,0))</f>
        <v>0</v>
      </c>
      <c r="AI17" s="10">
        <f>IF(M17="","",IF(M17&gt;L17,1,0))</f>
        <v>1</v>
      </c>
      <c r="AJ17" s="10">
        <f>IF(N17="","",IF(N17&gt;O17,1,0))</f>
        <v>0</v>
      </c>
      <c r="AK17" s="10">
        <f>IF(O17="","",IF(O17&gt;N17,1,0))</f>
        <v>1</v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Венко Стојанов (49)</v>
      </c>
      <c r="D18" s="166">
        <v>2</v>
      </c>
      <c r="E18" s="167" t="str">
        <f>IF(C4="","",VLOOKUP(D18,$B$3:$E$6,2,FALSE))</f>
        <v>Димитрие Жоговски (126)</v>
      </c>
      <c r="F18" s="168">
        <v>9</v>
      </c>
      <c r="G18" s="169">
        <v>11</v>
      </c>
      <c r="H18" s="170">
        <v>8</v>
      </c>
      <c r="I18" s="169">
        <v>11</v>
      </c>
      <c r="J18" s="168">
        <v>8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Z13" sqref="Z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9" t="s">
        <v>1</v>
      </c>
      <c r="R1" s="459"/>
      <c r="S1" s="459"/>
      <c r="T1" s="459"/>
      <c r="U1" s="45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81" t="s">
        <v>3</v>
      </c>
      <c r="D2" s="481"/>
      <c r="E2" s="482"/>
      <c r="F2" s="466">
        <v>1</v>
      </c>
      <c r="G2" s="464"/>
      <c r="H2" s="465">
        <v>2</v>
      </c>
      <c r="I2" s="464"/>
      <c r="J2" s="465">
        <v>3</v>
      </c>
      <c r="K2" s="464"/>
      <c r="L2" s="465">
        <v>4</v>
      </c>
      <c r="M2" s="466"/>
      <c r="N2" s="467" t="s">
        <v>4</v>
      </c>
      <c r="O2" s="468"/>
      <c r="P2" s="469" t="s">
        <v>84</v>
      </c>
      <c r="Q2" s="470"/>
      <c r="R2" s="471" t="s">
        <v>5</v>
      </c>
      <c r="S2" s="471"/>
      <c r="T2" s="126" t="s">
        <v>6</v>
      </c>
      <c r="W2" s="7">
        <v>1</v>
      </c>
      <c r="X2" s="453" t="str">
        <f>IF(ISERROR(INDEX($C$3:$C$6,MATCH(W2,$T$3:$T$6,0))),"",(INDEX($C$3:$C$6,MATCH(W2,$T$3:$T$6,0))))</f>
        <v>Христијан Јовановски  (2)</v>
      </c>
      <c r="Y2" s="454"/>
      <c r="Z2" s="455"/>
      <c r="AB2" s="456" t="s">
        <v>85</v>
      </c>
      <c r="AC2" s="456"/>
      <c r="AD2" s="456"/>
      <c r="AE2" s="456"/>
      <c r="AG2" s="6" t="s">
        <v>86</v>
      </c>
      <c r="AK2" s="457" t="s">
        <v>87</v>
      </c>
      <c r="AL2" s="457"/>
      <c r="AP2" s="6" t="s">
        <v>88</v>
      </c>
    </row>
    <row r="3" spans="2:47" ht="24" customHeight="1">
      <c r="B3" s="234">
        <v>1</v>
      </c>
      <c r="C3" s="478" t="str">
        <f>IF(GROUPS!H14="","",GROUPS!H14)</f>
        <v>Христијан Јовановски  (2)</v>
      </c>
      <c r="D3" s="478"/>
      <c r="E3" s="479"/>
      <c r="F3" s="231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1</v>
      </c>
      <c r="P3" s="136">
        <f>IF(AND(T9="",T13="",T17=""),"",AG3)</f>
        <v>108</v>
      </c>
      <c r="Q3" s="137">
        <f>IF(AND(T9="",T13="",T17=""),"",AP3)</f>
        <v>75</v>
      </c>
      <c r="R3" s="449">
        <f>IF(ISERROR(IF(AND(T9="",T13="",T17=""),"",SUM(AB3:AD3)+(N3-O3)/1000)+(AK3/10000)),"",IF(AND(T9="",T13="",T17=""),"",SUM(AB3:AD3)+(N3-O3)/1000)+(AK3/10000)+(AG3/100000))</f>
        <v>6.0123800000000003</v>
      </c>
      <c r="S3" s="449"/>
      <c r="T3" s="138">
        <f>IF(ISERROR(IF(C3="","",RANK(R3,$R$3:$S$6,0))),"",IF(C3="","",RANK(R3,$R$3:$S$6,0)))</f>
        <v>1</v>
      </c>
      <c r="U3" s="9"/>
      <c r="V3" s="9"/>
      <c r="W3" s="7">
        <v>2</v>
      </c>
      <c r="X3" s="453" t="str">
        <f t="shared" ref="X3:X5" si="0">IF(ISERROR(INDEX($C$3:$C$6,MATCH(W3,$T$3:$T$6,0))),"",(INDEX($C$3:$C$6,MATCH(W3,$T$3:$T$6,0))))</f>
        <v>Томе Милев (131)</v>
      </c>
      <c r="Y3" s="454"/>
      <c r="Z3" s="45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108</v>
      </c>
      <c r="AH3" s="10">
        <f>F9+H9+J9+L9+N9+P9+R9</f>
        <v>34</v>
      </c>
      <c r="AI3" s="10">
        <f>F13+H13+J13+L13+N13+P13+R13</f>
        <v>41</v>
      </c>
      <c r="AJ3" s="10">
        <f>F17+H17+J17+L17+N17+P17+R17</f>
        <v>33</v>
      </c>
      <c r="AK3" s="444">
        <f>SUM(AH3:AJ3)-SUM(AM3:AO3)</f>
        <v>33</v>
      </c>
      <c r="AL3" s="445"/>
      <c r="AM3" s="10">
        <f>AH5</f>
        <v>27</v>
      </c>
      <c r="AN3" s="10">
        <f>AI4</f>
        <v>30</v>
      </c>
      <c r="AO3" s="10">
        <f>AJ6</f>
        <v>18</v>
      </c>
      <c r="AP3" s="9">
        <f>SUM(AM3:AO3)</f>
        <v>75</v>
      </c>
    </row>
    <row r="4" spans="2:47" ht="24" customHeight="1">
      <c r="B4" s="234">
        <v>2</v>
      </c>
      <c r="C4" s="478" t="str">
        <f>IF(GROUPS!H15="","",GROUPS!H15)</f>
        <v>Томе Милев (131)</v>
      </c>
      <c r="D4" s="478"/>
      <c r="E4" s="479"/>
      <c r="F4" s="232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2</v>
      </c>
      <c r="L4" s="130">
        <f>T10</f>
        <v>3</v>
      </c>
      <c r="M4" s="141">
        <f>U10</f>
        <v>0</v>
      </c>
      <c r="N4" s="134">
        <f>IF(AND(T10="",U13="",U18=""),"",SUM(F4,J4,L4))</f>
        <v>7</v>
      </c>
      <c r="O4" s="135">
        <f>IF(AND(T10="",U13="",U18=""),"",SUM(G4,K4,M4))</f>
        <v>5</v>
      </c>
      <c r="P4" s="136">
        <f>IF(AND(T10="",U13="",U18=""),"",AG4)</f>
        <v>118</v>
      </c>
      <c r="Q4" s="137">
        <f>IF(AND(T10="",U13="",U18=""),"",AP4)</f>
        <v>110</v>
      </c>
      <c r="R4" s="449">
        <f>IF(ISERROR(IF(AND(T10="",U13="",U18=""),"",SUM(AB4:AD4)+(N4-O4)/1000)+(AK4/10000)+(AG4/100000)),"",IF(AND(T10="",U13="",U18=""),"",SUM(AB4:AD4)+(N4-O4)/1000)+(AK4/10000)+(AG4/100000))</f>
        <v>5.0039799999999994</v>
      </c>
      <c r="S4" s="449"/>
      <c r="T4" s="138">
        <f>IF(ISERROR(IF(C4="","",RANK(R4,$R$3:$S$6,0))),"",IF(C4="","",RANK(R4,$R$3:$S$6,0)))</f>
        <v>2</v>
      </c>
      <c r="U4" s="9"/>
      <c r="V4" s="9"/>
      <c r="W4" s="7">
        <v>3</v>
      </c>
      <c r="X4" s="450" t="str">
        <f t="shared" si="0"/>
        <v>Горазд Ристовски (238)</v>
      </c>
      <c r="Y4" s="451"/>
      <c r="Z4" s="452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118</v>
      </c>
      <c r="AH4" s="10">
        <f>F10+H10+J10+L10+N10+P10+R10</f>
        <v>33</v>
      </c>
      <c r="AI4" s="10">
        <f>G13+I13+K13+M13+O13+Q13+S13</f>
        <v>30</v>
      </c>
      <c r="AJ4" s="10">
        <f>G18+I18+K18+M18+O18+Q18+S18</f>
        <v>55</v>
      </c>
      <c r="AK4" s="444">
        <f t="shared" ref="AK4:AK6" si="2">SUM(AH4:AJ4)-SUM(AM4:AO4)</f>
        <v>8</v>
      </c>
      <c r="AL4" s="445"/>
      <c r="AM4" s="10">
        <f>AH6</f>
        <v>17</v>
      </c>
      <c r="AN4" s="10">
        <f>AI3</f>
        <v>41</v>
      </c>
      <c r="AO4" s="10">
        <f>AJ5</f>
        <v>52</v>
      </c>
      <c r="AP4" s="9">
        <f t="shared" ref="AP4:AP6" si="3">SUM(AM4:AO4)</f>
        <v>110</v>
      </c>
    </row>
    <row r="5" spans="2:47" ht="24" customHeight="1">
      <c r="B5" s="234">
        <v>3</v>
      </c>
      <c r="C5" s="478" t="str">
        <f>IF(GROUPS!H16="","",GROUPS!H16)</f>
        <v>Горазд Ристовски (238)</v>
      </c>
      <c r="D5" s="478"/>
      <c r="E5" s="479"/>
      <c r="F5" s="232">
        <f>U9</f>
        <v>0</v>
      </c>
      <c r="G5" s="132">
        <f>T9</f>
        <v>3</v>
      </c>
      <c r="H5" s="130">
        <f>T18</f>
        <v>2</v>
      </c>
      <c r="I5" s="132">
        <f>U18</f>
        <v>3</v>
      </c>
      <c r="J5" s="140"/>
      <c r="K5" s="129"/>
      <c r="L5" s="130">
        <f>T14</f>
        <v>3</v>
      </c>
      <c r="M5" s="141">
        <f>U14</f>
        <v>1</v>
      </c>
      <c r="N5" s="134">
        <f>IF(AND(U9="",T14="",T18=""),"",SUM(F5,H5,L5))</f>
        <v>5</v>
      </c>
      <c r="O5" s="135">
        <f>IF(AND(U9="",T14="",T18=""),"",SUM(G5,I5,M5))</f>
        <v>7</v>
      </c>
      <c r="P5" s="136">
        <f>IF(AND(U9="",T14="",T18=""),"",AG5)</f>
        <v>124</v>
      </c>
      <c r="Q5" s="137">
        <f>IF(AND(U9="",T14="",T18=""),"",AP5)</f>
        <v>127</v>
      </c>
      <c r="R5" s="449">
        <f>IF(ISERROR(IF(AND(U9="",T14="",T18=""),"",SUM(AB5:AD5)+(N5-O5)/1000)+(AK5/10000)+(AG5/100000)),"",IF(AND(U9="",T14="",T18=""),"",SUM(AB5:AD5)+(N5-O5)/1000)+(AK5/10000)+(AG5/100000))</f>
        <v>3.9989400000000002</v>
      </c>
      <c r="S5" s="449"/>
      <c r="T5" s="138">
        <f>IF(ISERROR(IF(C5="","",RANK(R5,$R$3:$S$6,0))),"",IF(C5="","",RANK(R5,$R$3:$S$6,0)))</f>
        <v>3</v>
      </c>
      <c r="U5" s="9"/>
      <c r="V5" s="9"/>
      <c r="W5" s="7">
        <v>4</v>
      </c>
      <c r="X5" s="450" t="str">
        <f t="shared" si="0"/>
        <v>Игор Маневски (200)</v>
      </c>
      <c r="Y5" s="451"/>
      <c r="Z5" s="452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124</v>
      </c>
      <c r="AH5" s="10">
        <f>G9+I9+K9+M9+O9+Q9+S9</f>
        <v>27</v>
      </c>
      <c r="AI5" s="10">
        <f>F14+H14+J14+L14+N14+P14+R14</f>
        <v>45</v>
      </c>
      <c r="AJ5" s="10">
        <f>F18+H18+J18+L18+N18+P18+R18</f>
        <v>52</v>
      </c>
      <c r="AK5" s="444">
        <f t="shared" si="2"/>
        <v>-3</v>
      </c>
      <c r="AL5" s="445"/>
      <c r="AM5" s="10">
        <f>AH3</f>
        <v>34</v>
      </c>
      <c r="AN5" s="10">
        <f>AI6</f>
        <v>38</v>
      </c>
      <c r="AO5" s="10">
        <f>AJ4</f>
        <v>55</v>
      </c>
      <c r="AP5" s="9">
        <f t="shared" si="3"/>
        <v>127</v>
      </c>
    </row>
    <row r="6" spans="2:47" ht="24" customHeight="1" thickBot="1">
      <c r="B6" s="235">
        <v>4</v>
      </c>
      <c r="C6" s="483" t="str">
        <f>IF(GROUPS!H17="","",GROUPS!H17)</f>
        <v>Игор Маневски (200)</v>
      </c>
      <c r="D6" s="483"/>
      <c r="E6" s="484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1</v>
      </c>
      <c r="K6" s="144">
        <f>T14</f>
        <v>3</v>
      </c>
      <c r="L6" s="146"/>
      <c r="M6" s="147"/>
      <c r="N6" s="148">
        <f>IF(AND(U10="",U14="",U17=""),"",SUM(F6,H6,J6))</f>
        <v>1</v>
      </c>
      <c r="O6" s="149">
        <f>IF(AND(U10="",U14="",U17=""),"",SUM(G6,I6,K6))</f>
        <v>9</v>
      </c>
      <c r="P6" s="150">
        <f>IF(AND(U10="",U14="",U17=""),"",AG6)</f>
        <v>73</v>
      </c>
      <c r="Q6" s="151">
        <f>IF(AND(U10="",U14="",U17=""),"",AP6)</f>
        <v>111</v>
      </c>
      <c r="R6" s="443">
        <f>IF(ISERROR(IF(AND(U10="",U14="",U17=""),"",SUM(AB6:AD6)+(N6-O6)/1000)+(AK6/10000)+(AG6/100000)),"",IF(AND(U10="",U14="",U17=""),"",SUM(AB6:AD6)+(N6-O6)/1000)+(AK6/10000)+(AG6/100000))</f>
        <v>2.9889299999999999</v>
      </c>
      <c r="S6" s="443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73</v>
      </c>
      <c r="AH6" s="10">
        <f>G10+I10+K10+M10+O10+Q10+S10</f>
        <v>17</v>
      </c>
      <c r="AI6" s="10">
        <f>G14+I14+K14+M14+O14+Q14+S14</f>
        <v>38</v>
      </c>
      <c r="AJ6" s="10">
        <f>G17+I17+K17+M17+O17+Q17+S17</f>
        <v>18</v>
      </c>
      <c r="AK6" s="444">
        <f t="shared" si="2"/>
        <v>-38</v>
      </c>
      <c r="AL6" s="445"/>
      <c r="AM6" s="10">
        <f>AH4</f>
        <v>33</v>
      </c>
      <c r="AN6" s="10">
        <f>AI5</f>
        <v>45</v>
      </c>
      <c r="AO6" s="10">
        <f>AJ3</f>
        <v>33</v>
      </c>
      <c r="AP6" s="9">
        <f t="shared" si="3"/>
        <v>111</v>
      </c>
    </row>
    <row r="7" spans="2:47" ht="19.5" thickBot="1">
      <c r="P7" s="153">
        <f>SUM(P3:P6)</f>
        <v>423</v>
      </c>
      <c r="Q7" s="153">
        <f>SUM(Q3:Q6)</f>
        <v>423</v>
      </c>
    </row>
    <row r="8" spans="2:47" ht="19.5" thickBot="1">
      <c r="B8" s="430" t="s">
        <v>7</v>
      </c>
      <c r="C8" s="435"/>
      <c r="D8" s="435"/>
      <c r="E8" s="431"/>
      <c r="F8" s="436" t="s">
        <v>8</v>
      </c>
      <c r="G8" s="437"/>
      <c r="H8" s="433" t="s">
        <v>9</v>
      </c>
      <c r="I8" s="437"/>
      <c r="J8" s="433" t="s">
        <v>10</v>
      </c>
      <c r="K8" s="437"/>
      <c r="L8" s="433" t="s">
        <v>11</v>
      </c>
      <c r="M8" s="437"/>
      <c r="N8" s="433" t="s">
        <v>12</v>
      </c>
      <c r="O8" s="437"/>
      <c r="P8" s="433" t="s">
        <v>13</v>
      </c>
      <c r="Q8" s="437"/>
      <c r="R8" s="433" t="s">
        <v>14</v>
      </c>
      <c r="S8" s="434"/>
      <c r="T8" s="430" t="s">
        <v>15</v>
      </c>
      <c r="U8" s="431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Христијан Јовановски  (2)</v>
      </c>
      <c r="D9" s="156">
        <v>3</v>
      </c>
      <c r="E9" s="157" t="str">
        <f>IF(C5="","",VLOOKUP(D9,$B$3:$E$6,2,FALSE))</f>
        <v>Горазд Ристовски (238)</v>
      </c>
      <c r="F9" s="158">
        <v>12</v>
      </c>
      <c r="G9" s="159">
        <v>10</v>
      </c>
      <c r="H9" s="160">
        <v>11</v>
      </c>
      <c r="I9" s="159">
        <v>8</v>
      </c>
      <c r="J9" s="158">
        <v>11</v>
      </c>
      <c r="K9" s="161">
        <v>9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Томе Милев (131)</v>
      </c>
      <c r="D10" s="166">
        <v>4</v>
      </c>
      <c r="E10" s="167" t="str">
        <f>IF(C6="","",VLOOKUP(D10,$B$3:$E$6,2,FALSE))</f>
        <v>Игор Маневски (200)</v>
      </c>
      <c r="F10" s="168">
        <v>11</v>
      </c>
      <c r="G10" s="169">
        <v>8</v>
      </c>
      <c r="H10" s="170">
        <v>11</v>
      </c>
      <c r="I10" s="169">
        <v>5</v>
      </c>
      <c r="J10" s="168">
        <v>11</v>
      </c>
      <c r="K10" s="171">
        <v>4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0" t="s">
        <v>16</v>
      </c>
      <c r="C12" s="435"/>
      <c r="D12" s="435"/>
      <c r="E12" s="431"/>
      <c r="F12" s="436" t="s">
        <v>8</v>
      </c>
      <c r="G12" s="437"/>
      <c r="H12" s="433" t="s">
        <v>9</v>
      </c>
      <c r="I12" s="437"/>
      <c r="J12" s="433" t="s">
        <v>10</v>
      </c>
      <c r="K12" s="437"/>
      <c r="L12" s="433" t="s">
        <v>11</v>
      </c>
      <c r="M12" s="437"/>
      <c r="N12" s="433" t="s">
        <v>12</v>
      </c>
      <c r="O12" s="437"/>
      <c r="P12" s="433" t="s">
        <v>13</v>
      </c>
      <c r="Q12" s="437"/>
      <c r="R12" s="433" t="s">
        <v>14</v>
      </c>
      <c r="S12" s="434"/>
      <c r="T12" s="430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>Христијан Јовановски  (2)</v>
      </c>
      <c r="D13" s="156">
        <v>2</v>
      </c>
      <c r="E13" s="157" t="str">
        <f>IF(C4="","",VLOOKUP(D13,$B$3:$E$6,2,FALSE))</f>
        <v>Томе Милев (131)</v>
      </c>
      <c r="F13" s="158">
        <v>11</v>
      </c>
      <c r="G13" s="159">
        <v>4</v>
      </c>
      <c r="H13" s="160">
        <v>11</v>
      </c>
      <c r="I13" s="159">
        <v>6</v>
      </c>
      <c r="J13" s="158">
        <v>8</v>
      </c>
      <c r="K13" s="161">
        <v>11</v>
      </c>
      <c r="L13" s="160">
        <v>11</v>
      </c>
      <c r="M13" s="159">
        <v>9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Горазд Ристовски (238)</v>
      </c>
      <c r="D14" s="166">
        <v>4</v>
      </c>
      <c r="E14" s="167" t="str">
        <f>IF(C6="","",VLOOKUP(D14,$B$3:$E$6,2,FALSE))</f>
        <v>Игор Маневски (200)</v>
      </c>
      <c r="F14" s="168">
        <v>9</v>
      </c>
      <c r="G14" s="169">
        <v>11</v>
      </c>
      <c r="H14" s="170">
        <v>11</v>
      </c>
      <c r="I14" s="169">
        <v>6</v>
      </c>
      <c r="J14" s="168">
        <v>11</v>
      </c>
      <c r="K14" s="171">
        <v>9</v>
      </c>
      <c r="L14" s="170">
        <v>14</v>
      </c>
      <c r="M14" s="169">
        <v>12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1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1</v>
      </c>
      <c r="AI14" s="10">
        <f>IF(M14="","",IF(M14&gt;L14,1,0))</f>
        <v>0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0" t="s">
        <v>17</v>
      </c>
      <c r="C16" s="435"/>
      <c r="D16" s="435"/>
      <c r="E16" s="431"/>
      <c r="F16" s="436" t="s">
        <v>8</v>
      </c>
      <c r="G16" s="437"/>
      <c r="H16" s="433" t="s">
        <v>9</v>
      </c>
      <c r="I16" s="437"/>
      <c r="J16" s="433" t="s">
        <v>10</v>
      </c>
      <c r="K16" s="437"/>
      <c r="L16" s="433" t="s">
        <v>11</v>
      </c>
      <c r="M16" s="437"/>
      <c r="N16" s="433" t="s">
        <v>12</v>
      </c>
      <c r="O16" s="437"/>
      <c r="P16" s="433" t="s">
        <v>13</v>
      </c>
      <c r="Q16" s="437"/>
      <c r="R16" s="433" t="s">
        <v>14</v>
      </c>
      <c r="S16" s="434"/>
      <c r="T16" s="430" t="s">
        <v>15</v>
      </c>
      <c r="U16" s="431"/>
    </row>
    <row r="17" spans="2:41">
      <c r="B17" s="154">
        <v>1</v>
      </c>
      <c r="C17" s="155" t="str">
        <f>IF(C3="","",VLOOKUP(B17,$B$3:$E$6,2,FALSE))</f>
        <v>Христијан Јовановски  (2)</v>
      </c>
      <c r="D17" s="156">
        <v>4</v>
      </c>
      <c r="E17" s="157" t="str">
        <f>IF(C6="","",VLOOKUP(D17,$B$3:$E$6,2,FALSE))</f>
        <v>Игор Маневски (200)</v>
      </c>
      <c r="F17" s="158">
        <v>11</v>
      </c>
      <c r="G17" s="159">
        <v>8</v>
      </c>
      <c r="H17" s="160">
        <v>11</v>
      </c>
      <c r="I17" s="159">
        <v>3</v>
      </c>
      <c r="J17" s="158">
        <v>11</v>
      </c>
      <c r="K17" s="161">
        <v>7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Горазд Ристовски (238)</v>
      </c>
      <c r="D18" s="166">
        <v>2</v>
      </c>
      <c r="E18" s="167" t="str">
        <f>IF(C4="","",VLOOKUP(D18,$B$3:$E$6,2,FALSE))</f>
        <v>Томе Милев (131)</v>
      </c>
      <c r="F18" s="168">
        <v>14</v>
      </c>
      <c r="G18" s="169">
        <v>12</v>
      </c>
      <c r="H18" s="170">
        <v>8</v>
      </c>
      <c r="I18" s="169">
        <v>11</v>
      </c>
      <c r="J18" s="168">
        <v>11</v>
      </c>
      <c r="K18" s="171">
        <v>9</v>
      </c>
      <c r="L18" s="170">
        <v>10</v>
      </c>
      <c r="M18" s="169">
        <v>12</v>
      </c>
      <c r="N18" s="168">
        <v>9</v>
      </c>
      <c r="O18" s="171">
        <v>11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2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Z12" sqref="Z1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9" t="s">
        <v>1</v>
      </c>
      <c r="R1" s="459"/>
      <c r="S1" s="459"/>
      <c r="T1" s="459"/>
      <c r="U1" s="45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81" t="s">
        <v>3</v>
      </c>
      <c r="D2" s="481"/>
      <c r="E2" s="482"/>
      <c r="F2" s="466">
        <v>1</v>
      </c>
      <c r="G2" s="464"/>
      <c r="H2" s="465">
        <v>2</v>
      </c>
      <c r="I2" s="464"/>
      <c r="J2" s="465">
        <v>3</v>
      </c>
      <c r="K2" s="464"/>
      <c r="L2" s="465">
        <v>4</v>
      </c>
      <c r="M2" s="466"/>
      <c r="N2" s="467" t="s">
        <v>4</v>
      </c>
      <c r="O2" s="468"/>
      <c r="P2" s="469" t="s">
        <v>84</v>
      </c>
      <c r="Q2" s="470"/>
      <c r="R2" s="471" t="s">
        <v>5</v>
      </c>
      <c r="S2" s="471"/>
      <c r="T2" s="126" t="s">
        <v>6</v>
      </c>
      <c r="W2" s="7">
        <v>1</v>
      </c>
      <c r="X2" s="453" t="str">
        <f>IF(ISERROR(INDEX($C$3:$C$6,MATCH(W2,$T$3:$T$6,0))),"",(INDEX($C$3:$C$6,MATCH(W2,$T$3:$T$6,0))))</f>
        <v>Слободан Грковски (54)</v>
      </c>
      <c r="Y2" s="454"/>
      <c r="Z2" s="455"/>
      <c r="AB2" s="456" t="s">
        <v>85</v>
      </c>
      <c r="AC2" s="456"/>
      <c r="AD2" s="456"/>
      <c r="AE2" s="456"/>
      <c r="AG2" s="6" t="s">
        <v>86</v>
      </c>
      <c r="AK2" s="457" t="s">
        <v>87</v>
      </c>
      <c r="AL2" s="457"/>
      <c r="AP2" s="6" t="s">
        <v>88</v>
      </c>
    </row>
    <row r="3" spans="2:47" ht="24" customHeight="1">
      <c r="B3" s="234">
        <v>1</v>
      </c>
      <c r="C3" s="478" t="str">
        <f>IF(GROUPS!J14="","",GROUPS!J14)</f>
        <v>Слободан Грковски (54)</v>
      </c>
      <c r="D3" s="478"/>
      <c r="E3" s="479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47</v>
      </c>
      <c r="R3" s="449">
        <f>IF(ISERROR(IF(AND(T9="",T13="",T17=""),"",SUM(AB3:AD3)+(N3-O3)/1000)+(AK3/10000)),"",IF(AND(T9="",T13="",T17=""),"",SUM(AB3:AD3)+(N3-O3)/1000)+(AK3/10000)+(AG3/100000))</f>
        <v>4.0085600000000001</v>
      </c>
      <c r="S3" s="449"/>
      <c r="T3" s="138">
        <f>IF(ISERROR(IF(C3="","",RANK(R3,$R$3:$S$6,0))),"",IF(C3="","",RANK(R3,$R$3:$S$6,0)))</f>
        <v>1</v>
      </c>
      <c r="U3" s="9"/>
      <c r="V3" s="9"/>
      <c r="W3" s="7">
        <v>2</v>
      </c>
      <c r="X3" s="453" t="str">
        <f t="shared" ref="X3:X5" si="0">IF(ISERROR(INDEX($C$3:$C$6,MATCH(W3,$T$3:$T$6,0))),"",(INDEX($C$3:$C$6,MATCH(W3,$T$3:$T$6,0))))</f>
        <v>Даниел Главевски Зхоу  (108)</v>
      </c>
      <c r="Y3" s="454"/>
      <c r="Z3" s="45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44">
        <f>SUM(AH3:AJ3)-SUM(AM3:AO3)</f>
        <v>19</v>
      </c>
      <c r="AL3" s="445"/>
      <c r="AM3" s="10">
        <f>AH5</f>
        <v>21</v>
      </c>
      <c r="AN3" s="10">
        <f>AI4</f>
        <v>26</v>
      </c>
      <c r="AO3" s="10">
        <f>AJ6</f>
        <v>0</v>
      </c>
      <c r="AP3" s="9">
        <f>SUM(AM3:AO3)</f>
        <v>47</v>
      </c>
    </row>
    <row r="4" spans="2:47" ht="24" customHeight="1">
      <c r="B4" s="234">
        <v>2</v>
      </c>
      <c r="C4" s="478" t="str">
        <f>IF(GROUPS!J15="","",GROUPS!J15)</f>
        <v>Даниел Главевски Зхоу  (108)</v>
      </c>
      <c r="D4" s="478"/>
      <c r="E4" s="479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59</v>
      </c>
      <c r="Q4" s="137">
        <f>IF(AND(T10="",U13="",U18=""),"",AP4)</f>
        <v>53</v>
      </c>
      <c r="R4" s="449">
        <f>IF(ISERROR(IF(AND(T10="",U13="",U18=""),"",SUM(AB4:AD4)+(N4-O4)/1000)+(AK4/10000)+(AG4/100000)),"",IF(AND(T10="",U13="",U18=""),"",SUM(AB4:AD4)+(N4-O4)/1000)+(AK4/10000)+(AG4/100000))</f>
        <v>3.0011899999999998</v>
      </c>
      <c r="S4" s="449"/>
      <c r="T4" s="138">
        <f>IF(ISERROR(IF(C4="","",RANK(R4,$R$3:$S$6,0))),"",IF(C4="","",RANK(R4,$R$3:$S$6,0)))</f>
        <v>2</v>
      </c>
      <c r="U4" s="9"/>
      <c r="V4" s="9"/>
      <c r="W4" s="7">
        <v>3</v>
      </c>
      <c r="X4" s="450" t="str">
        <f t="shared" si="0"/>
        <v>Драган Шкоф (236)</v>
      </c>
      <c r="Y4" s="451"/>
      <c r="Z4" s="452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59</v>
      </c>
      <c r="AH4" s="10">
        <f>F10+H10+J10+L10+N10+P10+R10</f>
        <v>0</v>
      </c>
      <c r="AI4" s="10">
        <f>G13+I13+K13+M13+O13+Q13+S13</f>
        <v>26</v>
      </c>
      <c r="AJ4" s="10">
        <f>G18+I18+K18+M18+O18+Q18+S18</f>
        <v>33</v>
      </c>
      <c r="AK4" s="444">
        <f t="shared" ref="AK4:AK6" si="2">SUM(AH4:AJ4)-SUM(AM4:AO4)</f>
        <v>6</v>
      </c>
      <c r="AL4" s="445"/>
      <c r="AM4" s="10">
        <f>AH6</f>
        <v>0</v>
      </c>
      <c r="AN4" s="10">
        <f>AI3</f>
        <v>33</v>
      </c>
      <c r="AO4" s="10">
        <f>AJ5</f>
        <v>20</v>
      </c>
      <c r="AP4" s="9">
        <f t="shared" ref="AP4:AP6" si="3">SUM(AM4:AO4)</f>
        <v>53</v>
      </c>
    </row>
    <row r="5" spans="2:47" ht="24" customHeight="1">
      <c r="B5" s="234">
        <v>3</v>
      </c>
      <c r="C5" s="478" t="str">
        <f>IF(GROUPS!J16="","",GROUPS!J16)</f>
        <v>Драган Шкоф (236)</v>
      </c>
      <c r="D5" s="478"/>
      <c r="E5" s="479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41</v>
      </c>
      <c r="Q5" s="137">
        <f>IF(AND(U9="",T14="",T18=""),"",AP5)</f>
        <v>66</v>
      </c>
      <c r="R5" s="449">
        <f>IF(ISERROR(IF(AND(U9="",T14="",T18=""),"",SUM(AB5:AD5)+(N5-O5)/1000)+(AK5/10000)+(AG5/100000)),"",IF(AND(U9="",T14="",T18=""),"",SUM(AB5:AD5)+(N5-O5)/1000)+(AK5/10000)+(AG5/100000))</f>
        <v>1.9919100000000001</v>
      </c>
      <c r="S5" s="449"/>
      <c r="T5" s="138">
        <f>IF(ISERROR(IF(C5="","",RANK(R5,$R$3:$S$6,0))),"",IF(C5="","",RANK(R5,$R$3:$S$6,0)))</f>
        <v>3</v>
      </c>
      <c r="U5" s="9"/>
      <c r="V5" s="9"/>
      <c r="W5" s="7">
        <v>4</v>
      </c>
      <c r="X5" s="450" t="str">
        <f t="shared" si="0"/>
        <v/>
      </c>
      <c r="Y5" s="451"/>
      <c r="Z5" s="45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41</v>
      </c>
      <c r="AH5" s="10">
        <f>G9+I9+K9+M9+O9+Q9+S9</f>
        <v>21</v>
      </c>
      <c r="AI5" s="10">
        <f>F14+H14+J14+L14+N14+P14+R14</f>
        <v>0</v>
      </c>
      <c r="AJ5" s="10">
        <f>F18+H18+J18+L18+N18+P18+R18</f>
        <v>20</v>
      </c>
      <c r="AK5" s="444">
        <f t="shared" si="2"/>
        <v>-25</v>
      </c>
      <c r="AL5" s="44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35">
        <v>4</v>
      </c>
      <c r="C6" s="483" t="str">
        <f>IF(GROUPS!J17="","",GROUPS!J17)</f>
        <v>Сашко Тодосиев (89)</v>
      </c>
      <c r="D6" s="483"/>
      <c r="E6" s="48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166</v>
      </c>
      <c r="Q7" s="153">
        <f>SUM(Q3:Q6)</f>
        <v>166</v>
      </c>
    </row>
    <row r="8" spans="2:47" ht="19.5" thickBot="1">
      <c r="B8" s="430" t="s">
        <v>7</v>
      </c>
      <c r="C8" s="435"/>
      <c r="D8" s="435"/>
      <c r="E8" s="431"/>
      <c r="F8" s="436" t="s">
        <v>8</v>
      </c>
      <c r="G8" s="437"/>
      <c r="H8" s="433" t="s">
        <v>9</v>
      </c>
      <c r="I8" s="437"/>
      <c r="J8" s="433" t="s">
        <v>10</v>
      </c>
      <c r="K8" s="437"/>
      <c r="L8" s="433" t="s">
        <v>11</v>
      </c>
      <c r="M8" s="437"/>
      <c r="N8" s="433" t="s">
        <v>12</v>
      </c>
      <c r="O8" s="437"/>
      <c r="P8" s="433" t="s">
        <v>13</v>
      </c>
      <c r="Q8" s="437"/>
      <c r="R8" s="433" t="s">
        <v>14</v>
      </c>
      <c r="S8" s="434"/>
      <c r="T8" s="430" t="s">
        <v>15</v>
      </c>
      <c r="U8" s="431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Слободан Грковски (54)</v>
      </c>
      <c r="D9" s="156">
        <v>3</v>
      </c>
      <c r="E9" s="157" t="str">
        <f>IF(C5="","",VLOOKUP(D9,$B$3:$E$6,2,FALSE))</f>
        <v>Драган Шкоф (236)</v>
      </c>
      <c r="F9" s="158">
        <v>11</v>
      </c>
      <c r="G9" s="159">
        <v>6</v>
      </c>
      <c r="H9" s="160">
        <v>11</v>
      </c>
      <c r="I9" s="159">
        <v>7</v>
      </c>
      <c r="J9" s="158">
        <v>11</v>
      </c>
      <c r="K9" s="161">
        <v>8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Даниел Главевски Зхоу  (108)</v>
      </c>
      <c r="D10" s="166">
        <v>4</v>
      </c>
      <c r="E10" s="167" t="str">
        <f>IF(C6="","",VLOOKUP(D10,$B$3:$E$6,2,FALSE))</f>
        <v>Сашко Тодосиев (89)</v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0" t="s">
        <v>16</v>
      </c>
      <c r="C12" s="435"/>
      <c r="D12" s="435"/>
      <c r="E12" s="431"/>
      <c r="F12" s="436" t="s">
        <v>8</v>
      </c>
      <c r="G12" s="437"/>
      <c r="H12" s="433" t="s">
        <v>9</v>
      </c>
      <c r="I12" s="437"/>
      <c r="J12" s="433" t="s">
        <v>10</v>
      </c>
      <c r="K12" s="437"/>
      <c r="L12" s="433" t="s">
        <v>11</v>
      </c>
      <c r="M12" s="437"/>
      <c r="N12" s="433" t="s">
        <v>12</v>
      </c>
      <c r="O12" s="437"/>
      <c r="P12" s="433" t="s">
        <v>13</v>
      </c>
      <c r="Q12" s="437"/>
      <c r="R12" s="433" t="s">
        <v>14</v>
      </c>
      <c r="S12" s="434"/>
      <c r="T12" s="430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>Слободан Грковски (54)</v>
      </c>
      <c r="D13" s="156">
        <v>2</v>
      </c>
      <c r="E13" s="157" t="str">
        <f>IF(C4="","",VLOOKUP(D13,$B$3:$E$6,2,FALSE))</f>
        <v>Даниел Главевски Зхоу  (108)</v>
      </c>
      <c r="F13" s="158">
        <v>11</v>
      </c>
      <c r="G13" s="159">
        <v>9</v>
      </c>
      <c r="H13" s="160">
        <v>11</v>
      </c>
      <c r="I13" s="159">
        <v>8</v>
      </c>
      <c r="J13" s="158">
        <v>11</v>
      </c>
      <c r="K13" s="161">
        <v>9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Драган Шкоф (236)</v>
      </c>
      <c r="D14" s="166">
        <v>4</v>
      </c>
      <c r="E14" s="167" t="str">
        <f>IF(C6="","",VLOOKUP(D14,$B$3:$E$6,2,FALSE))</f>
        <v>Сашко Тодосиев (89)</v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0" t="s">
        <v>17</v>
      </c>
      <c r="C16" s="435"/>
      <c r="D16" s="435"/>
      <c r="E16" s="431"/>
      <c r="F16" s="436" t="s">
        <v>8</v>
      </c>
      <c r="G16" s="437"/>
      <c r="H16" s="433" t="s">
        <v>9</v>
      </c>
      <c r="I16" s="437"/>
      <c r="J16" s="433" t="s">
        <v>10</v>
      </c>
      <c r="K16" s="437"/>
      <c r="L16" s="433" t="s">
        <v>11</v>
      </c>
      <c r="M16" s="437"/>
      <c r="N16" s="433" t="s">
        <v>12</v>
      </c>
      <c r="O16" s="437"/>
      <c r="P16" s="433" t="s">
        <v>13</v>
      </c>
      <c r="Q16" s="437"/>
      <c r="R16" s="433" t="s">
        <v>14</v>
      </c>
      <c r="S16" s="434"/>
      <c r="T16" s="430" t="s">
        <v>15</v>
      </c>
      <c r="U16" s="431"/>
    </row>
    <row r="17" spans="2:41">
      <c r="B17" s="154">
        <v>1</v>
      </c>
      <c r="C17" s="155" t="str">
        <f>IF(C3="","",VLOOKUP(B17,$B$3:$E$6,2,FALSE))</f>
        <v>Слободан Грковски (54)</v>
      </c>
      <c r="D17" s="156">
        <v>4</v>
      </c>
      <c r="E17" s="157" t="str">
        <f>IF(C6="","",VLOOKUP(D17,$B$3:$E$6,2,FALSE))</f>
        <v>Сашко Тодосиев (89)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Драган Шкоф (236)</v>
      </c>
      <c r="D18" s="166">
        <v>2</v>
      </c>
      <c r="E18" s="167" t="str">
        <f>IF(C4="","",VLOOKUP(D18,$B$3:$E$6,2,FALSE))</f>
        <v>Даниел Главевски Зхоу  (108)</v>
      </c>
      <c r="F18" s="168">
        <v>6</v>
      </c>
      <c r="G18" s="169">
        <v>11</v>
      </c>
      <c r="H18" s="170">
        <v>8</v>
      </c>
      <c r="I18" s="169">
        <v>11</v>
      </c>
      <c r="J18" s="168">
        <v>6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AQ11" sqref="AQ1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9" t="s">
        <v>1</v>
      </c>
      <c r="R1" s="459"/>
      <c r="S1" s="459"/>
      <c r="T1" s="459"/>
      <c r="U1" s="45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87" t="s">
        <v>3</v>
      </c>
      <c r="D2" s="481"/>
      <c r="E2" s="482"/>
      <c r="F2" s="466">
        <v>1</v>
      </c>
      <c r="G2" s="464"/>
      <c r="H2" s="465">
        <v>2</v>
      </c>
      <c r="I2" s="464"/>
      <c r="J2" s="465">
        <v>3</v>
      </c>
      <c r="K2" s="464"/>
      <c r="L2" s="465">
        <v>4</v>
      </c>
      <c r="M2" s="466"/>
      <c r="N2" s="467" t="s">
        <v>4</v>
      </c>
      <c r="O2" s="468"/>
      <c r="P2" s="469" t="s">
        <v>84</v>
      </c>
      <c r="Q2" s="470"/>
      <c r="R2" s="471" t="s">
        <v>5</v>
      </c>
      <c r="S2" s="471"/>
      <c r="T2" s="126" t="s">
        <v>6</v>
      </c>
      <c r="W2" s="7">
        <v>1</v>
      </c>
      <c r="X2" s="453" t="str">
        <f>IF(ISERROR(INDEX($C$3:$C$6,MATCH(W2,$T$3:$T$6,0))),"",(INDEX($C$3:$C$6,MATCH(W2,$T$3:$T$6,0))))</f>
        <v>Христијан Јованов (37)</v>
      </c>
      <c r="Y2" s="454"/>
      <c r="Z2" s="455"/>
      <c r="AB2" s="456" t="s">
        <v>85</v>
      </c>
      <c r="AC2" s="456"/>
      <c r="AD2" s="456"/>
      <c r="AE2" s="456"/>
      <c r="AG2" s="6" t="s">
        <v>86</v>
      </c>
      <c r="AK2" s="457" t="s">
        <v>87</v>
      </c>
      <c r="AL2" s="457"/>
      <c r="AP2" s="6" t="s">
        <v>88</v>
      </c>
    </row>
    <row r="3" spans="2:47" ht="24" customHeight="1">
      <c r="B3" s="127">
        <v>1</v>
      </c>
      <c r="C3" s="486" t="str">
        <f>IF(GROUPS!D19="","",GROUPS!D19)</f>
        <v>Нико Доага (190)</v>
      </c>
      <c r="D3" s="478"/>
      <c r="E3" s="479"/>
      <c r="F3" s="231"/>
      <c r="G3" s="129"/>
      <c r="H3" s="130">
        <f>T13</f>
        <v>3</v>
      </c>
      <c r="I3" s="131">
        <f>U13</f>
        <v>2</v>
      </c>
      <c r="J3" s="130" t="str">
        <f>T9</f>
        <v/>
      </c>
      <c r="K3" s="132" t="str">
        <f>U9</f>
        <v/>
      </c>
      <c r="L3" s="130">
        <f>T17</f>
        <v>1</v>
      </c>
      <c r="M3" s="133">
        <f>U17</f>
        <v>3</v>
      </c>
      <c r="N3" s="134">
        <f>IF(AND(T9="",T13="",T17=""),"",SUM(H3,J3,L3))</f>
        <v>4</v>
      </c>
      <c r="O3" s="135">
        <f>IF(AND(T9="",T13="",T17=""),"",SUM(I3,K3,M3))</f>
        <v>5</v>
      </c>
      <c r="P3" s="136">
        <f>IF(AND(T9="",T13="",T17=""),"",AG3)</f>
        <v>85</v>
      </c>
      <c r="Q3" s="137">
        <f>IF(AND(T9="",T13="",T17=""),"",AP3)</f>
        <v>85</v>
      </c>
      <c r="R3" s="449">
        <f>IF(ISERROR(IF(AND(T9="",T13="",T17=""),"",SUM(AB3:AD3)+(N3-O3)/1000)+(AK3/10000)),"",IF(AND(T9="",T13="",T17=""),"",SUM(AB3:AD3)+(N3-O3)/1000)+(AK3/10000)+(AG3/100000))</f>
        <v>2.9998499999999999</v>
      </c>
      <c r="S3" s="449"/>
      <c r="T3" s="138">
        <f>IF(ISERROR(IF(C3="","",RANK(R3,$R$3:$S$6,0))),"",IF(C3="","",RANK(R3,$R$3:$S$6,0)))</f>
        <v>2</v>
      </c>
      <c r="U3" s="9"/>
      <c r="V3" s="9"/>
      <c r="W3" s="7">
        <v>2</v>
      </c>
      <c r="X3" s="453" t="str">
        <f t="shared" ref="X3:X5" si="0">IF(ISERROR(INDEX($C$3:$C$6,MATCH(W3,$T$3:$T$6,0))),"",(INDEX($C$3:$C$6,MATCH(W3,$T$3:$T$6,0))))</f>
        <v>Нико Доага (190)</v>
      </c>
      <c r="Y3" s="454"/>
      <c r="Z3" s="455"/>
      <c r="AB3" s="10">
        <f>IF(H3="","",IF(H3&gt;I3,2,1))</f>
        <v>2</v>
      </c>
      <c r="AC3" s="10" t="str">
        <f>IF(J3="","",IF(J3&gt;K3,2,1))</f>
        <v/>
      </c>
      <c r="AD3" s="10">
        <f>IF(L3="","",IF(L3&gt;M3,2,1))</f>
        <v>1</v>
      </c>
      <c r="AE3" s="216"/>
      <c r="AG3" s="11">
        <f>SUM(AH3:AJ3)</f>
        <v>85</v>
      </c>
      <c r="AH3" s="10">
        <f>F9+H9+J9+L9+N9+P9+R9</f>
        <v>0</v>
      </c>
      <c r="AI3" s="10">
        <f>F13+H13+J13+L13+N13+P13+R13</f>
        <v>50</v>
      </c>
      <c r="AJ3" s="10">
        <f>F17+H17+J17+L17+N17+P17+R17</f>
        <v>35</v>
      </c>
      <c r="AK3" s="444">
        <f>SUM(AH3:AJ3)-SUM(AM3:AO3)</f>
        <v>0</v>
      </c>
      <c r="AL3" s="445"/>
      <c r="AM3" s="10">
        <f>AH5</f>
        <v>0</v>
      </c>
      <c r="AN3" s="10">
        <f>AI4</f>
        <v>43</v>
      </c>
      <c r="AO3" s="10">
        <f>AJ6</f>
        <v>42</v>
      </c>
      <c r="AP3" s="9">
        <f>SUM(AM3:AO3)</f>
        <v>85</v>
      </c>
    </row>
    <row r="4" spans="2:47" ht="24" customHeight="1">
      <c r="B4" s="127">
        <v>2</v>
      </c>
      <c r="C4" s="486" t="str">
        <f>IF(GROUPS!D20="","",GROUPS!D20)</f>
        <v>Христијан Јованов (37)</v>
      </c>
      <c r="D4" s="478"/>
      <c r="E4" s="479"/>
      <c r="F4" s="232">
        <f>U13</f>
        <v>2</v>
      </c>
      <c r="G4" s="132">
        <f>T13</f>
        <v>3</v>
      </c>
      <c r="H4" s="140"/>
      <c r="I4" s="129"/>
      <c r="J4" s="130" t="str">
        <f>U18</f>
        <v/>
      </c>
      <c r="K4" s="132" t="str">
        <f>T18</f>
        <v/>
      </c>
      <c r="L4" s="130">
        <f>T10</f>
        <v>3</v>
      </c>
      <c r="M4" s="141">
        <f>U10</f>
        <v>0</v>
      </c>
      <c r="N4" s="134">
        <f>IF(AND(T10="",U13="",U18=""),"",SUM(F4,J4,L4))</f>
        <v>5</v>
      </c>
      <c r="O4" s="135">
        <f>IF(AND(T10="",U13="",U18=""),"",SUM(G4,K4,M4))</f>
        <v>3</v>
      </c>
      <c r="P4" s="136">
        <f>IF(AND(T10="",U13="",U18=""),"",AG4)</f>
        <v>76</v>
      </c>
      <c r="Q4" s="137">
        <f>IF(AND(T10="",U13="",U18=""),"",AP4)</f>
        <v>66</v>
      </c>
      <c r="R4" s="449">
        <f>IF(ISERROR(IF(AND(T10="",U13="",U18=""),"",SUM(AB4:AD4)+(N4-O4)/1000)+(AK4/10000)+(AG4/100000)),"",IF(AND(T10="",U13="",U18=""),"",SUM(AB4:AD4)+(N4-O4)/1000)+(AK4/10000)+(AG4/100000))</f>
        <v>3.0037599999999998</v>
      </c>
      <c r="S4" s="449"/>
      <c r="T4" s="138">
        <f>IF(ISERROR(IF(C4="","",RANK(R4,$R$3:$S$6,0))),"",IF(C4="","",RANK(R4,$R$3:$S$6,0)))</f>
        <v>1</v>
      </c>
      <c r="U4" s="9"/>
      <c r="V4" s="9"/>
      <c r="W4" s="7">
        <v>3</v>
      </c>
      <c r="X4" s="450" t="str">
        <f t="shared" si="0"/>
        <v>Александар Кралев (71)</v>
      </c>
      <c r="Y4" s="451"/>
      <c r="Z4" s="452"/>
      <c r="AB4" s="10">
        <f>IF(F4="","",IF(F4&gt;G4,2,1))</f>
        <v>1</v>
      </c>
      <c r="AC4" s="10" t="str">
        <f>IF(J4="","",IF(J4&gt;K4,2,1))</f>
        <v/>
      </c>
      <c r="AD4" s="10">
        <f>IF(L4="","",IF(L4&gt;M4,2,1))</f>
        <v>2</v>
      </c>
      <c r="AE4" s="216"/>
      <c r="AG4" s="11">
        <f t="shared" ref="AG4:AG6" si="1">SUM(AH4:AJ4)</f>
        <v>76</v>
      </c>
      <c r="AH4" s="10">
        <f>F10+H10+J10+L10+N10+P10+R10</f>
        <v>33</v>
      </c>
      <c r="AI4" s="10">
        <f>G13+I13+K13+M13+O13+Q13+S13</f>
        <v>43</v>
      </c>
      <c r="AJ4" s="10">
        <f>G18+I18+K18+M18+O18+Q18+S18</f>
        <v>0</v>
      </c>
      <c r="AK4" s="444">
        <f t="shared" ref="AK4:AK6" si="2">SUM(AH4:AJ4)-SUM(AM4:AO4)</f>
        <v>10</v>
      </c>
      <c r="AL4" s="445"/>
      <c r="AM4" s="10">
        <f>AH6</f>
        <v>16</v>
      </c>
      <c r="AN4" s="10">
        <f>AI3</f>
        <v>50</v>
      </c>
      <c r="AO4" s="10">
        <f>AJ5</f>
        <v>0</v>
      </c>
      <c r="AP4" s="9">
        <f t="shared" ref="AP4:AP6" si="3">SUM(AM4:AO4)</f>
        <v>66</v>
      </c>
    </row>
    <row r="5" spans="2:47" ht="24" customHeight="1">
      <c r="B5" s="127">
        <v>3</v>
      </c>
      <c r="C5" s="486" t="str">
        <f>IF(GROUPS!D21="","",GROUPS!D21)</f>
        <v>Јован Коминивски (330)</v>
      </c>
      <c r="D5" s="478"/>
      <c r="E5" s="47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9" t="str">
        <f>IF(ISERROR(IF(AND(U9="",T14="",T18=""),"",SUM(AB5:AD5)+(N5-O5)/1000)+(AK5/10000)+(AG5/100000)),"",IF(AND(U9="",T14="",T18=""),"",SUM(AB5:AD5)+(N5-O5)/1000)+(AK5/10000)+(AG5/100000))</f>
        <v/>
      </c>
      <c r="S5" s="44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0" t="str">
        <f t="shared" si="0"/>
        <v/>
      </c>
      <c r="Y5" s="451"/>
      <c r="Z5" s="45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4">
        <f t="shared" si="2"/>
        <v>0</v>
      </c>
      <c r="AL5" s="44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5" t="str">
        <f>IF(GROUPS!D22="","",GROUPS!D22)</f>
        <v>Александар Кралев (71)</v>
      </c>
      <c r="D6" s="483"/>
      <c r="E6" s="484"/>
      <c r="F6" s="233">
        <f>U17</f>
        <v>3</v>
      </c>
      <c r="G6" s="144">
        <f>T17</f>
        <v>1</v>
      </c>
      <c r="H6" s="145">
        <f>U10</f>
        <v>0</v>
      </c>
      <c r="I6" s="144">
        <f>T10</f>
        <v>3</v>
      </c>
      <c r="J6" s="145" t="str">
        <f>U14</f>
        <v/>
      </c>
      <c r="K6" s="144" t="str">
        <f>T14</f>
        <v/>
      </c>
      <c r="L6" s="146"/>
      <c r="M6" s="147"/>
      <c r="N6" s="148">
        <f>IF(AND(U10="",U14="",U17=""),"",SUM(F6,H6,J6))</f>
        <v>3</v>
      </c>
      <c r="O6" s="149">
        <f>IF(AND(U10="",U14="",U17=""),"",SUM(G6,I6,K6))</f>
        <v>4</v>
      </c>
      <c r="P6" s="150">
        <f>IF(AND(U10="",U14="",U17=""),"",AG6)</f>
        <v>58</v>
      </c>
      <c r="Q6" s="151">
        <f>IF(AND(U10="",U14="",U17=""),"",AP6)</f>
        <v>68</v>
      </c>
      <c r="R6" s="443">
        <f>IF(ISERROR(IF(AND(U10="",U14="",U17=""),"",SUM(AB6:AD6)+(N6-O6)/1000)+(AK6/10000)+(AG6/100000)),"",IF(AND(U10="",U14="",U17=""),"",SUM(AB6:AD6)+(N6-O6)/1000)+(AK6/10000)+(AG6/100000))</f>
        <v>2.99858</v>
      </c>
      <c r="S6" s="443"/>
      <c r="T6" s="152">
        <f>IF(ISERROR(IF(C6="","",RANK(R6,$R$3:$S$6,0))),"",IF(C6="","",RANK(R6,$R$3:$S$6,0)))</f>
        <v>3</v>
      </c>
      <c r="AB6" s="10">
        <f t="shared" si="4"/>
        <v>2</v>
      </c>
      <c r="AC6" s="10">
        <f>IF(H6="","",IF(H6&gt;I6,2,1))</f>
        <v>1</v>
      </c>
      <c r="AD6" s="10" t="str">
        <f>IF(J6="","",IF(J6&gt;K6,2,1))</f>
        <v/>
      </c>
      <c r="AE6" s="216"/>
      <c r="AG6" s="11">
        <f t="shared" si="1"/>
        <v>58</v>
      </c>
      <c r="AH6" s="10">
        <f>G10+I10+K10+M10+O10+Q10+S10</f>
        <v>16</v>
      </c>
      <c r="AI6" s="10">
        <f>G14+I14+K14+M14+O14+Q14+S14</f>
        <v>0</v>
      </c>
      <c r="AJ6" s="10">
        <f>G17+I17+K17+M17+O17+Q17+S17</f>
        <v>42</v>
      </c>
      <c r="AK6" s="444">
        <f t="shared" si="2"/>
        <v>-10</v>
      </c>
      <c r="AL6" s="445"/>
      <c r="AM6" s="10">
        <f>AH4</f>
        <v>33</v>
      </c>
      <c r="AN6" s="10">
        <f>AI5</f>
        <v>0</v>
      </c>
      <c r="AO6" s="10">
        <f>AJ3</f>
        <v>35</v>
      </c>
      <c r="AP6" s="9">
        <f t="shared" si="3"/>
        <v>68</v>
      </c>
    </row>
    <row r="7" spans="2:47" ht="19.5" thickBot="1">
      <c r="P7" s="153">
        <f>SUM(P3:P6)</f>
        <v>219</v>
      </c>
      <c r="Q7" s="153">
        <f>SUM(Q3:Q6)</f>
        <v>219</v>
      </c>
    </row>
    <row r="8" spans="2:47" ht="19.5" thickBot="1">
      <c r="B8" s="430" t="s">
        <v>7</v>
      </c>
      <c r="C8" s="435"/>
      <c r="D8" s="435"/>
      <c r="E8" s="431"/>
      <c r="F8" s="436" t="s">
        <v>8</v>
      </c>
      <c r="G8" s="437"/>
      <c r="H8" s="433" t="s">
        <v>9</v>
      </c>
      <c r="I8" s="437"/>
      <c r="J8" s="433" t="s">
        <v>10</v>
      </c>
      <c r="K8" s="437"/>
      <c r="L8" s="433" t="s">
        <v>11</v>
      </c>
      <c r="M8" s="437"/>
      <c r="N8" s="433" t="s">
        <v>12</v>
      </c>
      <c r="O8" s="437"/>
      <c r="P8" s="433" t="s">
        <v>13</v>
      </c>
      <c r="Q8" s="437"/>
      <c r="R8" s="433" t="s">
        <v>14</v>
      </c>
      <c r="S8" s="434"/>
      <c r="T8" s="430" t="s">
        <v>15</v>
      </c>
      <c r="U8" s="431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Нико Доага (190)</v>
      </c>
      <c r="D9" s="156">
        <v>3</v>
      </c>
      <c r="E9" s="157" t="str">
        <f>IF(C5="","",VLOOKUP(D9,$B$3:$E$6,2,FALSE))</f>
        <v>Јован Коминивски (330)</v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Христијан Јованов (37)</v>
      </c>
      <c r="D10" s="166">
        <v>4</v>
      </c>
      <c r="E10" s="167" t="str">
        <f>IF(C6="","",VLOOKUP(D10,$B$3:$E$6,2,FALSE))</f>
        <v>Александар Кралев (71)</v>
      </c>
      <c r="F10" s="168">
        <v>11</v>
      </c>
      <c r="G10" s="169">
        <v>7</v>
      </c>
      <c r="H10" s="170">
        <v>11</v>
      </c>
      <c r="I10" s="169">
        <v>9</v>
      </c>
      <c r="J10" s="168">
        <v>11</v>
      </c>
      <c r="K10" s="171"/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0" t="s">
        <v>16</v>
      </c>
      <c r="C12" s="435"/>
      <c r="D12" s="435"/>
      <c r="E12" s="431"/>
      <c r="F12" s="436" t="s">
        <v>8</v>
      </c>
      <c r="G12" s="437"/>
      <c r="H12" s="433" t="s">
        <v>9</v>
      </c>
      <c r="I12" s="437"/>
      <c r="J12" s="433" t="s">
        <v>10</v>
      </c>
      <c r="K12" s="437"/>
      <c r="L12" s="433" t="s">
        <v>11</v>
      </c>
      <c r="M12" s="437"/>
      <c r="N12" s="433" t="s">
        <v>12</v>
      </c>
      <c r="O12" s="437"/>
      <c r="P12" s="433" t="s">
        <v>13</v>
      </c>
      <c r="Q12" s="437"/>
      <c r="R12" s="433" t="s">
        <v>14</v>
      </c>
      <c r="S12" s="434"/>
      <c r="T12" s="430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>Нико Доага (190)</v>
      </c>
      <c r="D13" s="156">
        <v>2</v>
      </c>
      <c r="E13" s="157" t="str">
        <f>IF(C4="","",VLOOKUP(D13,$B$3:$E$6,2,FALSE))</f>
        <v>Христијан Јованов (37)</v>
      </c>
      <c r="F13" s="158">
        <v>11</v>
      </c>
      <c r="G13" s="159">
        <v>9</v>
      </c>
      <c r="H13" s="160">
        <v>8</v>
      </c>
      <c r="I13" s="159">
        <v>11</v>
      </c>
      <c r="J13" s="158">
        <v>11</v>
      </c>
      <c r="K13" s="161">
        <v>9</v>
      </c>
      <c r="L13" s="160">
        <v>9</v>
      </c>
      <c r="M13" s="159">
        <v>11</v>
      </c>
      <c r="N13" s="158">
        <v>11</v>
      </c>
      <c r="O13" s="161">
        <v>3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Јован Коминивски (330)</v>
      </c>
      <c r="D14" s="166">
        <v>4</v>
      </c>
      <c r="E14" s="167" t="str">
        <f>IF(C6="","",VLOOKUP(D14,$B$3:$E$6,2,FALSE))</f>
        <v>Александар Кралев (71)</v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0" t="s">
        <v>17</v>
      </c>
      <c r="C16" s="435"/>
      <c r="D16" s="435"/>
      <c r="E16" s="431"/>
      <c r="F16" s="436" t="s">
        <v>8</v>
      </c>
      <c r="G16" s="437"/>
      <c r="H16" s="433" t="s">
        <v>9</v>
      </c>
      <c r="I16" s="437"/>
      <c r="J16" s="433" t="s">
        <v>10</v>
      </c>
      <c r="K16" s="437"/>
      <c r="L16" s="433" t="s">
        <v>11</v>
      </c>
      <c r="M16" s="437"/>
      <c r="N16" s="433" t="s">
        <v>12</v>
      </c>
      <c r="O16" s="437"/>
      <c r="P16" s="433" t="s">
        <v>13</v>
      </c>
      <c r="Q16" s="437"/>
      <c r="R16" s="433" t="s">
        <v>14</v>
      </c>
      <c r="S16" s="434"/>
      <c r="T16" s="430" t="s">
        <v>15</v>
      </c>
      <c r="U16" s="431"/>
    </row>
    <row r="17" spans="2:41">
      <c r="B17" s="154">
        <v>1</v>
      </c>
      <c r="C17" s="155" t="str">
        <f>IF(C3="","",VLOOKUP(B17,$B$3:$E$6,2,FALSE))</f>
        <v>Нико Доага (190)</v>
      </c>
      <c r="D17" s="156">
        <v>4</v>
      </c>
      <c r="E17" s="157" t="str">
        <f>IF(C6="","",VLOOKUP(D17,$B$3:$E$6,2,FALSE))</f>
        <v>Александар Кралев (71)</v>
      </c>
      <c r="F17" s="158">
        <v>9</v>
      </c>
      <c r="G17" s="159">
        <v>11</v>
      </c>
      <c r="H17" s="160">
        <v>8</v>
      </c>
      <c r="I17" s="159">
        <v>11</v>
      </c>
      <c r="J17" s="158">
        <v>11</v>
      </c>
      <c r="K17" s="161">
        <v>9</v>
      </c>
      <c r="L17" s="160">
        <v>7</v>
      </c>
      <c r="M17" s="159">
        <v>11</v>
      </c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1</v>
      </c>
      <c r="U17" s="163">
        <f>IF(F17="","",SUM(SUMPRODUCT(--(F17&lt;G17)),SUMPRODUCT(--(H17&lt;I17)),SUMPRODUCT(--(J17&lt;K17)),SUMPRODUCT(--(L17&lt;M17)),SUMPRODUCT(--(N17&lt;O17)),SUMPRODUCT(--(P17&lt;Q17)),SUMPRODUCT(--(R17&lt;S17))))</f>
        <v>3</v>
      </c>
      <c r="AB17" s="10">
        <f>IF(F17="","",IF(F17&gt;G17,1,0))</f>
        <v>0</v>
      </c>
      <c r="AC17" s="10">
        <f>IF(G17="","",IF(G17&gt;F17,1,0))</f>
        <v>1</v>
      </c>
      <c r="AD17" s="10">
        <f>IF(H17="","",IF(H17&gt;I17,1,0))</f>
        <v>0</v>
      </c>
      <c r="AE17" s="10">
        <f>IF(I17="","",IF(I17&gt;H17,1,0))</f>
        <v>1</v>
      </c>
      <c r="AF17" s="10">
        <f>IF(J17="","",IF(J17&gt;K17,1,0))</f>
        <v>1</v>
      </c>
      <c r="AG17" s="10">
        <f>IF(K17="","",IF(K17&gt;J17,1,0))</f>
        <v>0</v>
      </c>
      <c r="AH17" s="10">
        <f>IF(L17="","",IF(L17&gt;M17,1,0))</f>
        <v>0</v>
      </c>
      <c r="AI17" s="10">
        <f>IF(M17="","",IF(M17&gt;L17,1,0))</f>
        <v>1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Јован Коминивски (330)</v>
      </c>
      <c r="D18" s="166">
        <v>2</v>
      </c>
      <c r="E18" s="167" t="str">
        <f>IF(C4="","",VLOOKUP(D18,$B$3:$E$6,2,FALSE))</f>
        <v>Христијан Јованов (37)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X15" sqref="X1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9" t="s">
        <v>1</v>
      </c>
      <c r="R1" s="459"/>
      <c r="S1" s="459"/>
      <c r="T1" s="459"/>
      <c r="U1" s="45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8" t="s">
        <v>3</v>
      </c>
      <c r="D2" s="488"/>
      <c r="E2" s="489"/>
      <c r="F2" s="466">
        <v>1</v>
      </c>
      <c r="G2" s="464"/>
      <c r="H2" s="465">
        <v>2</v>
      </c>
      <c r="I2" s="464"/>
      <c r="J2" s="465">
        <v>3</v>
      </c>
      <c r="K2" s="464"/>
      <c r="L2" s="465">
        <v>4</v>
      </c>
      <c r="M2" s="466"/>
      <c r="N2" s="467" t="s">
        <v>4</v>
      </c>
      <c r="O2" s="468"/>
      <c r="P2" s="469" t="s">
        <v>84</v>
      </c>
      <c r="Q2" s="470"/>
      <c r="R2" s="471" t="s">
        <v>5</v>
      </c>
      <c r="S2" s="471"/>
      <c r="T2" s="126" t="s">
        <v>6</v>
      </c>
      <c r="W2" s="7">
        <v>1</v>
      </c>
      <c r="X2" s="453" t="str">
        <f>IF(ISERROR(INDEX($C$3:$C$6,MATCH(W2,$T$3:$T$6,0))),"",(INDEX($C$3:$C$6,MATCH(W2,$T$3:$T$6,0))))</f>
        <v>Борис Секулов (130)</v>
      </c>
      <c r="Y2" s="454"/>
      <c r="Z2" s="455"/>
      <c r="AB2" s="456" t="s">
        <v>85</v>
      </c>
      <c r="AC2" s="456"/>
      <c r="AD2" s="456"/>
      <c r="AE2" s="456"/>
      <c r="AG2" s="6" t="s">
        <v>86</v>
      </c>
      <c r="AK2" s="457" t="s">
        <v>87</v>
      </c>
      <c r="AL2" s="457"/>
      <c r="AP2" s="6" t="s">
        <v>88</v>
      </c>
    </row>
    <row r="3" spans="2:47" ht="24" customHeight="1">
      <c r="B3" s="127">
        <v>1</v>
      </c>
      <c r="C3" s="490" t="str">
        <f>IF(GROUPS!F19="","",GROUPS!F19)</f>
        <v>Борис Секулов (130)</v>
      </c>
      <c r="D3" s="491"/>
      <c r="E3" s="492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1</v>
      </c>
      <c r="N3" s="134">
        <f>IF(AND(T9="",T13="",T17=""),"",SUM(H3,J3,L3))</f>
        <v>9</v>
      </c>
      <c r="O3" s="135">
        <f>IF(AND(T9="",T13="",T17=""),"",SUM(I3,K3,M3))</f>
        <v>1</v>
      </c>
      <c r="P3" s="136">
        <f>IF(AND(T9="",T13="",T17=""),"",AG3)</f>
        <v>113</v>
      </c>
      <c r="Q3" s="137">
        <f>IF(AND(T9="",T13="",T17=""),"",AP3)</f>
        <v>81</v>
      </c>
      <c r="R3" s="449">
        <f>IF(ISERROR(IF(AND(T9="",T13="",T17=""),"",SUM(AB3:AD3)+(N3-O3)/1000)+(AK3/10000)),"",IF(AND(T9="",T13="",T17=""),"",SUM(AB3:AD3)+(N3-O3)/1000)+(AK3/10000)+(AG3/100000))</f>
        <v>6.0123299999999995</v>
      </c>
      <c r="S3" s="449"/>
      <c r="T3" s="138">
        <f>IF(ISERROR(IF(C3="","",RANK(R3,$R$3:$S$6,0))),"",IF(C3="","",RANK(R3,$R$3:$S$6,0)))</f>
        <v>1</v>
      </c>
      <c r="U3" s="9"/>
      <c r="V3" s="9"/>
      <c r="W3" s="7">
        <v>2</v>
      </c>
      <c r="X3" s="453" t="str">
        <f t="shared" ref="X3:X5" si="0">IF(ISERROR(INDEX($C$3:$C$6,MATCH(W3,$T$3:$T$6,0))),"",(INDEX($C$3:$C$6,MATCH(W3,$T$3:$T$6,0))))</f>
        <v>Марјан Крстев (52)</v>
      </c>
      <c r="Y3" s="454"/>
      <c r="Z3" s="45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113</v>
      </c>
      <c r="AH3" s="10">
        <f>F9+H9+J9+L9+N9+P9+R9</f>
        <v>35</v>
      </c>
      <c r="AI3" s="10">
        <f>F13+H13+J13+L13+N13+P13+R13</f>
        <v>33</v>
      </c>
      <c r="AJ3" s="10">
        <f>F17+H17+J17+L17+N17+P17+R17</f>
        <v>45</v>
      </c>
      <c r="AK3" s="444">
        <f>SUM(AH3:AJ3)-SUM(AM3:AO3)</f>
        <v>32</v>
      </c>
      <c r="AL3" s="445"/>
      <c r="AM3" s="10">
        <f>AH5</f>
        <v>24</v>
      </c>
      <c r="AN3" s="10">
        <f>AI4</f>
        <v>20</v>
      </c>
      <c r="AO3" s="10">
        <f>AJ6</f>
        <v>37</v>
      </c>
      <c r="AP3" s="9">
        <f>SUM(AM3:AO3)</f>
        <v>81</v>
      </c>
    </row>
    <row r="4" spans="2:47" ht="24" customHeight="1">
      <c r="B4" s="127">
        <v>2</v>
      </c>
      <c r="C4" s="486" t="str">
        <f>IF(GROUPS!F20="","",GROUPS!F20)</f>
        <v>Марјан Крстев (52)</v>
      </c>
      <c r="D4" s="478"/>
      <c r="E4" s="479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2</v>
      </c>
      <c r="L4" s="130">
        <f>T10</f>
        <v>3</v>
      </c>
      <c r="M4" s="141">
        <f>U10</f>
        <v>1</v>
      </c>
      <c r="N4" s="134">
        <f>IF(AND(T10="",U13="",U18=""),"",SUM(F4,J4,L4))</f>
        <v>6</v>
      </c>
      <c r="O4" s="135">
        <f>IF(AND(T10="",U13="",U18=""),"",SUM(G4,K4,M4))</f>
        <v>6</v>
      </c>
      <c r="P4" s="136">
        <f>IF(AND(T10="",U13="",U18=""),"",AG4)</f>
        <v>104</v>
      </c>
      <c r="Q4" s="137">
        <f>IF(AND(T10="",U13="",U18=""),"",AP4)</f>
        <v>112</v>
      </c>
      <c r="R4" s="449">
        <f>IF(ISERROR(IF(AND(T10="",U13="",U18=""),"",SUM(AB4:AD4)+(N4-O4)/1000)+(AK4/10000)+(AG4/100000)),"",IF(AND(T10="",U13="",U18=""),"",SUM(AB4:AD4)+(N4-O4)/1000)+(AK4/10000)+(AG4/100000))</f>
        <v>5.0002399999999998</v>
      </c>
      <c r="S4" s="449"/>
      <c r="T4" s="138">
        <f>IF(ISERROR(IF(C4="","",RANK(R4,$R$3:$S$6,0))),"",IF(C4="","",RANK(R4,$R$3:$S$6,0)))</f>
        <v>2</v>
      </c>
      <c r="U4" s="9"/>
      <c r="V4" s="9"/>
      <c r="W4" s="7">
        <v>3</v>
      </c>
      <c r="X4" s="450" t="str">
        <f t="shared" si="0"/>
        <v>Љупчо Треновски (404)</v>
      </c>
      <c r="Y4" s="451"/>
      <c r="Z4" s="452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104</v>
      </c>
      <c r="AH4" s="10">
        <f>F10+H10+J10+L10+N10+P10+R10</f>
        <v>39</v>
      </c>
      <c r="AI4" s="10">
        <f>G13+I13+K13+M13+O13+Q13+S13</f>
        <v>20</v>
      </c>
      <c r="AJ4" s="10">
        <f>G18+I18+K18+M18+O18+Q18+S18</f>
        <v>45</v>
      </c>
      <c r="AK4" s="444">
        <f t="shared" ref="AK4:AK6" si="2">SUM(AH4:AJ4)-SUM(AM4:AO4)</f>
        <v>-8</v>
      </c>
      <c r="AL4" s="445"/>
      <c r="AM4" s="10">
        <f>AH6</f>
        <v>32</v>
      </c>
      <c r="AN4" s="10">
        <f>AI3</f>
        <v>33</v>
      </c>
      <c r="AO4" s="10">
        <f>AJ5</f>
        <v>47</v>
      </c>
      <c r="AP4" s="9">
        <f t="shared" ref="AP4:AP6" si="3">SUM(AM4:AO4)</f>
        <v>112</v>
      </c>
    </row>
    <row r="5" spans="2:47" ht="24" customHeight="1">
      <c r="B5" s="127">
        <v>3</v>
      </c>
      <c r="C5" s="486" t="str">
        <f>IF(GROUPS!F21="","",GROUPS!F21)</f>
        <v>Славчо Спасеноски  (278)</v>
      </c>
      <c r="D5" s="478"/>
      <c r="E5" s="479"/>
      <c r="F5" s="232">
        <f>U9</f>
        <v>0</v>
      </c>
      <c r="G5" s="132">
        <f>T9</f>
        <v>3</v>
      </c>
      <c r="H5" s="130">
        <f>T18</f>
        <v>2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2</v>
      </c>
      <c r="O5" s="135">
        <f>IF(AND(U9="",T14="",T18=""),"",SUM(G5,I5,M5))</f>
        <v>9</v>
      </c>
      <c r="P5" s="136">
        <f>IF(AND(U9="",T14="",T18=""),"",AG5)</f>
        <v>92</v>
      </c>
      <c r="Q5" s="137">
        <f>IF(AND(U9="",T14="",T18=""),"",AP5)</f>
        <v>113</v>
      </c>
      <c r="R5" s="449">
        <f>IF(ISERROR(IF(AND(U9="",T14="",T18=""),"",SUM(AB5:AD5)+(N5-O5)/1000)+(AK5/10000)+(AG5/100000)),"",IF(AND(U9="",T14="",T18=""),"",SUM(AB5:AD5)+(N5-O5)/1000)+(AK5/10000)+(AG5/100000))</f>
        <v>2.9918199999999997</v>
      </c>
      <c r="S5" s="449"/>
      <c r="T5" s="138">
        <f>IF(ISERROR(IF(C5="","",RANK(R5,$R$3:$S$6,0))),"",IF(C5="","",RANK(R5,$R$3:$S$6,0)))</f>
        <v>4</v>
      </c>
      <c r="U5" s="9"/>
      <c r="V5" s="9"/>
      <c r="W5" s="7">
        <v>4</v>
      </c>
      <c r="X5" s="450" t="str">
        <f t="shared" si="0"/>
        <v>Славчо Спасеноски  (278)</v>
      </c>
      <c r="Y5" s="451"/>
      <c r="Z5" s="452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92</v>
      </c>
      <c r="AH5" s="10">
        <f>G9+I9+K9+M9+O9+Q9+S9</f>
        <v>24</v>
      </c>
      <c r="AI5" s="10">
        <f>F14+H14+J14+L14+N14+P14+R14</f>
        <v>21</v>
      </c>
      <c r="AJ5" s="10">
        <f>F18+H18+J18+L18+N18+P18+R18</f>
        <v>47</v>
      </c>
      <c r="AK5" s="444">
        <f t="shared" si="2"/>
        <v>-21</v>
      </c>
      <c r="AL5" s="445"/>
      <c r="AM5" s="10">
        <f>AH3</f>
        <v>35</v>
      </c>
      <c r="AN5" s="10">
        <f>AI6</f>
        <v>33</v>
      </c>
      <c r="AO5" s="10">
        <f>AJ4</f>
        <v>45</v>
      </c>
      <c r="AP5" s="9">
        <f t="shared" si="3"/>
        <v>113</v>
      </c>
    </row>
    <row r="6" spans="2:47" ht="24" customHeight="1" thickBot="1">
      <c r="B6" s="142">
        <v>4</v>
      </c>
      <c r="C6" s="485" t="str">
        <f>IF(GROUPS!F22="","",GROUPS!F22)</f>
        <v>Љупчо Треновски (404)</v>
      </c>
      <c r="D6" s="483"/>
      <c r="E6" s="484"/>
      <c r="F6" s="233">
        <f>U17</f>
        <v>1</v>
      </c>
      <c r="G6" s="144">
        <f>T17</f>
        <v>3</v>
      </c>
      <c r="H6" s="145">
        <f>U10</f>
        <v>1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5</v>
      </c>
      <c r="O6" s="149">
        <f>IF(AND(U10="",U14="",U17=""),"",SUM(G6,I6,K6))</f>
        <v>6</v>
      </c>
      <c r="P6" s="150">
        <f>IF(AND(U10="",U14="",U17=""),"",AG6)</f>
        <v>102</v>
      </c>
      <c r="Q6" s="151">
        <f>IF(AND(U10="",U14="",U17=""),"",AP6)</f>
        <v>105</v>
      </c>
      <c r="R6" s="443">
        <f>IF(ISERROR(IF(AND(U10="",U14="",U17=""),"",SUM(AB6:AD6)+(N6-O6)/1000)+(AK6/10000)+(AG6/100000)),"",IF(AND(U10="",U14="",U17=""),"",SUM(AB6:AD6)+(N6-O6)/1000)+(AK6/10000)+(AG6/100000))</f>
        <v>3.9997199999999999</v>
      </c>
      <c r="S6" s="443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102</v>
      </c>
      <c r="AH6" s="10">
        <f>G10+I10+K10+M10+O10+Q10+S10</f>
        <v>32</v>
      </c>
      <c r="AI6" s="10">
        <f>G14+I14+K14+M14+O14+Q14+S14</f>
        <v>33</v>
      </c>
      <c r="AJ6" s="10">
        <f>G17+I17+K17+M17+O17+Q17+S17</f>
        <v>37</v>
      </c>
      <c r="AK6" s="444">
        <f t="shared" si="2"/>
        <v>-3</v>
      </c>
      <c r="AL6" s="445"/>
      <c r="AM6" s="10">
        <f>AH4</f>
        <v>39</v>
      </c>
      <c r="AN6" s="10">
        <f>AI5</f>
        <v>21</v>
      </c>
      <c r="AO6" s="10">
        <f>AJ3</f>
        <v>45</v>
      </c>
      <c r="AP6" s="9">
        <f t="shared" si="3"/>
        <v>105</v>
      </c>
    </row>
    <row r="7" spans="2:47" ht="19.5" thickBot="1">
      <c r="P7" s="153">
        <f>SUM(P3:P6)</f>
        <v>411</v>
      </c>
      <c r="Q7" s="153">
        <f>SUM(Q3:Q6)</f>
        <v>411</v>
      </c>
    </row>
    <row r="8" spans="2:47" ht="19.5" thickBot="1">
      <c r="B8" s="430" t="s">
        <v>7</v>
      </c>
      <c r="C8" s="435"/>
      <c r="D8" s="435"/>
      <c r="E8" s="431"/>
      <c r="F8" s="436" t="s">
        <v>8</v>
      </c>
      <c r="G8" s="437"/>
      <c r="H8" s="433" t="s">
        <v>9</v>
      </c>
      <c r="I8" s="437"/>
      <c r="J8" s="433" t="s">
        <v>10</v>
      </c>
      <c r="K8" s="437"/>
      <c r="L8" s="433" t="s">
        <v>11</v>
      </c>
      <c r="M8" s="437"/>
      <c r="N8" s="433" t="s">
        <v>12</v>
      </c>
      <c r="O8" s="437"/>
      <c r="P8" s="433" t="s">
        <v>13</v>
      </c>
      <c r="Q8" s="437"/>
      <c r="R8" s="433" t="s">
        <v>14</v>
      </c>
      <c r="S8" s="434"/>
      <c r="T8" s="430" t="s">
        <v>15</v>
      </c>
      <c r="U8" s="431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Борис Секулов (130)</v>
      </c>
      <c r="D9" s="156">
        <v>3</v>
      </c>
      <c r="E9" s="157" t="str">
        <f>IF(C5="","",VLOOKUP(D9,$B$3:$E$6,2,FALSE))</f>
        <v>Славчо Спасеноски  (278)</v>
      </c>
      <c r="F9" s="158">
        <v>11</v>
      </c>
      <c r="G9" s="159">
        <v>7</v>
      </c>
      <c r="H9" s="160">
        <v>11</v>
      </c>
      <c r="I9" s="159">
        <v>6</v>
      </c>
      <c r="J9" s="158">
        <v>13</v>
      </c>
      <c r="K9" s="161">
        <v>11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Марјан Крстев (52)</v>
      </c>
      <c r="D10" s="166">
        <v>4</v>
      </c>
      <c r="E10" s="167" t="str">
        <f>IF(C6="","",VLOOKUP(D10,$B$3:$E$6,2,FALSE))</f>
        <v>Љупчо Треновски (404)</v>
      </c>
      <c r="F10" s="168">
        <v>11</v>
      </c>
      <c r="G10" s="169">
        <v>8</v>
      </c>
      <c r="H10" s="170">
        <v>6</v>
      </c>
      <c r="I10" s="169">
        <v>11</v>
      </c>
      <c r="J10" s="168">
        <v>11</v>
      </c>
      <c r="K10" s="171">
        <v>6</v>
      </c>
      <c r="L10" s="170">
        <v>11</v>
      </c>
      <c r="M10" s="169">
        <v>7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0" t="s">
        <v>16</v>
      </c>
      <c r="C12" s="435"/>
      <c r="D12" s="435"/>
      <c r="E12" s="431"/>
      <c r="F12" s="436" t="s">
        <v>8</v>
      </c>
      <c r="G12" s="437"/>
      <c r="H12" s="433" t="s">
        <v>9</v>
      </c>
      <c r="I12" s="437"/>
      <c r="J12" s="433" t="s">
        <v>10</v>
      </c>
      <c r="K12" s="437"/>
      <c r="L12" s="433" t="s">
        <v>11</v>
      </c>
      <c r="M12" s="437"/>
      <c r="N12" s="433" t="s">
        <v>12</v>
      </c>
      <c r="O12" s="437"/>
      <c r="P12" s="433" t="s">
        <v>13</v>
      </c>
      <c r="Q12" s="437"/>
      <c r="R12" s="433" t="s">
        <v>14</v>
      </c>
      <c r="S12" s="434"/>
      <c r="T12" s="430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>Борис Секулов (130)</v>
      </c>
      <c r="D13" s="156">
        <v>2</v>
      </c>
      <c r="E13" s="157" t="str">
        <f>IF(C4="","",VLOOKUP(D13,$B$3:$E$6,2,FALSE))</f>
        <v>Марјан Крстев (52)</v>
      </c>
      <c r="F13" s="158">
        <v>11</v>
      </c>
      <c r="G13" s="159">
        <v>5</v>
      </c>
      <c r="H13" s="160">
        <v>11</v>
      </c>
      <c r="I13" s="159">
        <v>8</v>
      </c>
      <c r="J13" s="158">
        <v>11</v>
      </c>
      <c r="K13" s="161">
        <v>7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Славчо Спасеноски  (278)</v>
      </c>
      <c r="D14" s="166">
        <v>4</v>
      </c>
      <c r="E14" s="167" t="str">
        <f>IF(C6="","",VLOOKUP(D14,$B$3:$E$6,2,FALSE))</f>
        <v>Љупчо Треновски (404)</v>
      </c>
      <c r="F14" s="168">
        <v>5</v>
      </c>
      <c r="G14" s="169">
        <v>11</v>
      </c>
      <c r="H14" s="170">
        <v>8</v>
      </c>
      <c r="I14" s="169">
        <v>11</v>
      </c>
      <c r="J14" s="168">
        <v>8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0" t="s">
        <v>17</v>
      </c>
      <c r="C16" s="435"/>
      <c r="D16" s="435"/>
      <c r="E16" s="431"/>
      <c r="F16" s="436" t="s">
        <v>8</v>
      </c>
      <c r="G16" s="437"/>
      <c r="H16" s="433" t="s">
        <v>9</v>
      </c>
      <c r="I16" s="437"/>
      <c r="J16" s="433" t="s">
        <v>10</v>
      </c>
      <c r="K16" s="437"/>
      <c r="L16" s="433" t="s">
        <v>11</v>
      </c>
      <c r="M16" s="437"/>
      <c r="N16" s="433" t="s">
        <v>12</v>
      </c>
      <c r="O16" s="437"/>
      <c r="P16" s="433" t="s">
        <v>13</v>
      </c>
      <c r="Q16" s="437"/>
      <c r="R16" s="433" t="s">
        <v>14</v>
      </c>
      <c r="S16" s="434"/>
      <c r="T16" s="430" t="s">
        <v>15</v>
      </c>
      <c r="U16" s="431"/>
    </row>
    <row r="17" spans="2:41">
      <c r="B17" s="154">
        <v>1</v>
      </c>
      <c r="C17" s="155" t="str">
        <f>IF(C3="","",VLOOKUP(B17,$B$3:$E$6,2,FALSE))</f>
        <v>Борис Секулов (130)</v>
      </c>
      <c r="D17" s="156">
        <v>4</v>
      </c>
      <c r="E17" s="157" t="str">
        <f>IF(C6="","",VLOOKUP(D17,$B$3:$E$6,2,FALSE))</f>
        <v>Љупчо Треновски (404)</v>
      </c>
      <c r="F17" s="158">
        <v>11</v>
      </c>
      <c r="G17" s="159">
        <v>9</v>
      </c>
      <c r="H17" s="160">
        <v>11</v>
      </c>
      <c r="I17" s="159">
        <v>7</v>
      </c>
      <c r="J17" s="158">
        <v>12</v>
      </c>
      <c r="K17" s="161">
        <v>14</v>
      </c>
      <c r="L17" s="160">
        <v>11</v>
      </c>
      <c r="M17" s="159">
        <v>7</v>
      </c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1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0</v>
      </c>
      <c r="AG17" s="10">
        <f>IF(K17="","",IF(K17&gt;J17,1,0))</f>
        <v>1</v>
      </c>
      <c r="AH17" s="10">
        <f>IF(L17="","",IF(L17&gt;M17,1,0))</f>
        <v>1</v>
      </c>
      <c r="AI17" s="10">
        <f>IF(M17="","",IF(M17&gt;L17,1,0))</f>
        <v>0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Славчо Спасеноски  (278)</v>
      </c>
      <c r="D18" s="166">
        <v>2</v>
      </c>
      <c r="E18" s="167" t="str">
        <f>IF(C4="","",VLOOKUP(D18,$B$3:$E$6,2,FALSE))</f>
        <v>Марјан Крстев (52)</v>
      </c>
      <c r="F18" s="168">
        <v>8</v>
      </c>
      <c r="G18" s="169">
        <v>11</v>
      </c>
      <c r="H18" s="170">
        <v>6</v>
      </c>
      <c r="I18" s="169">
        <v>11</v>
      </c>
      <c r="J18" s="168">
        <v>11</v>
      </c>
      <c r="K18" s="171">
        <v>2</v>
      </c>
      <c r="L18" s="170">
        <v>11</v>
      </c>
      <c r="M18" s="169">
        <v>8</v>
      </c>
      <c r="N18" s="168">
        <v>11</v>
      </c>
      <c r="O18" s="171">
        <v>13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2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Y15" sqref="Y1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9" t="s">
        <v>1</v>
      </c>
      <c r="R1" s="459"/>
      <c r="S1" s="459"/>
      <c r="T1" s="459"/>
      <c r="U1" s="45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8" t="s">
        <v>3</v>
      </c>
      <c r="D2" s="488"/>
      <c r="E2" s="489"/>
      <c r="F2" s="466">
        <v>1</v>
      </c>
      <c r="G2" s="464"/>
      <c r="H2" s="465">
        <v>2</v>
      </c>
      <c r="I2" s="464"/>
      <c r="J2" s="465">
        <v>3</v>
      </c>
      <c r="K2" s="464"/>
      <c r="L2" s="465">
        <v>4</v>
      </c>
      <c r="M2" s="466"/>
      <c r="N2" s="467" t="s">
        <v>4</v>
      </c>
      <c r="O2" s="468"/>
      <c r="P2" s="469" t="s">
        <v>84</v>
      </c>
      <c r="Q2" s="470"/>
      <c r="R2" s="471" t="s">
        <v>5</v>
      </c>
      <c r="S2" s="471"/>
      <c r="T2" s="126" t="s">
        <v>6</v>
      </c>
      <c r="W2" s="7">
        <v>1</v>
      </c>
      <c r="X2" s="453" t="str">
        <f>IF(ISERROR(INDEX($C$3:$C$6,MATCH(W2,$T$3:$T$6,0))),"",(INDEX($C$3:$C$6,MATCH(W2,$T$3:$T$6,0))))</f>
        <v>Сашо Љамов (127)</v>
      </c>
      <c r="Y2" s="454"/>
      <c r="Z2" s="455"/>
      <c r="AB2" s="456" t="s">
        <v>85</v>
      </c>
      <c r="AC2" s="456"/>
      <c r="AD2" s="456"/>
      <c r="AE2" s="456"/>
      <c r="AG2" s="6" t="s">
        <v>86</v>
      </c>
      <c r="AK2" s="457" t="s">
        <v>87</v>
      </c>
      <c r="AL2" s="457"/>
      <c r="AP2" s="6" t="s">
        <v>88</v>
      </c>
    </row>
    <row r="3" spans="2:47" ht="24" customHeight="1">
      <c r="B3" s="127">
        <v>1</v>
      </c>
      <c r="C3" s="490" t="str">
        <f>IF(GROUPS!H19="","",GROUPS!H19)</f>
        <v>Сашо Љамов (127)</v>
      </c>
      <c r="D3" s="491"/>
      <c r="E3" s="492"/>
      <c r="F3" s="231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2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3</v>
      </c>
      <c r="P3" s="136">
        <f>IF(AND(T9="",T13="",T17=""),"",AG3)</f>
        <v>119</v>
      </c>
      <c r="Q3" s="137">
        <f>IF(AND(T9="",T13="",T17=""),"",AP3)</f>
        <v>89</v>
      </c>
      <c r="R3" s="449">
        <f>IF(ISERROR(IF(AND(T9="",T13="",T17=""),"",SUM(AB3:AD3)+(N3-O3)/1000)+(AK3/10000)),"",IF(AND(T9="",T13="",T17=""),"",SUM(AB3:AD3)+(N3-O3)/1000)+(AK3/10000)+(AG3/100000))</f>
        <v>6.0101900000000006</v>
      </c>
      <c r="S3" s="449"/>
      <c r="T3" s="138">
        <f>IF(ISERROR(IF(C3="","",RANK(R3,$R$3:$S$6,0))),"",IF(C3="","",RANK(R3,$R$3:$S$6,0)))</f>
        <v>1</v>
      </c>
      <c r="U3" s="9"/>
      <c r="V3" s="9"/>
      <c r="W3" s="7">
        <v>2</v>
      </c>
      <c r="X3" s="453" t="str">
        <f t="shared" ref="X3:X5" si="0">IF(ISERROR(INDEX($C$3:$C$6,MATCH(W3,$T$3:$T$6,0))),"",(INDEX($C$3:$C$6,MATCH(W3,$T$3:$T$6,0))))</f>
        <v>Андреј Стојановски (47)</v>
      </c>
      <c r="Y3" s="454"/>
      <c r="Z3" s="45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119</v>
      </c>
      <c r="AH3" s="10">
        <f>F9+H9+J9+L9+N9+P9+R9</f>
        <v>45</v>
      </c>
      <c r="AI3" s="10">
        <f>F13+H13+J13+L13+N13+P13+R13</f>
        <v>41</v>
      </c>
      <c r="AJ3" s="10">
        <f>F17+H17+J17+L17+N17+P17+R17</f>
        <v>33</v>
      </c>
      <c r="AK3" s="444">
        <f>SUM(AH3:AJ3)-SUM(AM3:AO3)</f>
        <v>30</v>
      </c>
      <c r="AL3" s="445"/>
      <c r="AM3" s="10">
        <f>AH5</f>
        <v>43</v>
      </c>
      <c r="AN3" s="10">
        <f>AI4</f>
        <v>31</v>
      </c>
      <c r="AO3" s="10">
        <f>AJ6</f>
        <v>15</v>
      </c>
      <c r="AP3" s="9">
        <f>SUM(AM3:AO3)</f>
        <v>89</v>
      </c>
    </row>
    <row r="4" spans="2:47" ht="24" customHeight="1">
      <c r="B4" s="127">
        <v>2</v>
      </c>
      <c r="C4" s="486" t="str">
        <f>IF(GROUPS!H20="","",GROUPS!H20)</f>
        <v>Андреј Стојановски (47)</v>
      </c>
      <c r="D4" s="478"/>
      <c r="E4" s="479"/>
      <c r="F4" s="232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1</v>
      </c>
      <c r="N4" s="134">
        <f>IF(AND(T10="",U13="",U18=""),"",SUM(F4,J4,L4))</f>
        <v>7</v>
      </c>
      <c r="O4" s="135">
        <f>IF(AND(T10="",U13="",U18=""),"",SUM(G4,K4,M4))</f>
        <v>4</v>
      </c>
      <c r="P4" s="136">
        <f>IF(AND(T10="",U13="",U18=""),"",AG4)</f>
        <v>106</v>
      </c>
      <c r="Q4" s="137">
        <f>IF(AND(T10="",U13="",U18=""),"",AP4)</f>
        <v>91</v>
      </c>
      <c r="R4" s="449">
        <f>IF(ISERROR(IF(AND(T10="",U13="",U18=""),"",SUM(AB4:AD4)+(N4-O4)/1000)+(AK4/10000)+(AG4/100000)),"",IF(AND(T10="",U13="",U18=""),"",SUM(AB4:AD4)+(N4-O4)/1000)+(AK4/10000)+(AG4/100000))</f>
        <v>5.00556</v>
      </c>
      <c r="S4" s="449"/>
      <c r="T4" s="138">
        <f>IF(ISERROR(IF(C4="","",RANK(R4,$R$3:$S$6,0))),"",IF(C4="","",RANK(R4,$R$3:$S$6,0)))</f>
        <v>2</v>
      </c>
      <c r="U4" s="9"/>
      <c r="V4" s="9"/>
      <c r="W4" s="7">
        <v>3</v>
      </c>
      <c r="X4" s="450" t="str">
        <f t="shared" si="0"/>
        <v>Милчо Чачаров (50)</v>
      </c>
      <c r="Y4" s="451"/>
      <c r="Z4" s="452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106</v>
      </c>
      <c r="AH4" s="10">
        <f>F10+H10+J10+L10+N10+P10+R10</f>
        <v>42</v>
      </c>
      <c r="AI4" s="10">
        <f>G13+I13+K13+M13+O13+Q13+S13</f>
        <v>31</v>
      </c>
      <c r="AJ4" s="10">
        <f>G18+I18+K18+M18+O18+Q18+S18</f>
        <v>33</v>
      </c>
      <c r="AK4" s="444">
        <f t="shared" ref="AK4:AK6" si="2">SUM(AH4:AJ4)-SUM(AM4:AO4)</f>
        <v>15</v>
      </c>
      <c r="AL4" s="445"/>
      <c r="AM4" s="10">
        <f>AH6</f>
        <v>28</v>
      </c>
      <c r="AN4" s="10">
        <f>AI3</f>
        <v>41</v>
      </c>
      <c r="AO4" s="10">
        <f>AJ5</f>
        <v>22</v>
      </c>
      <c r="AP4" s="9">
        <f t="shared" ref="AP4:AP6" si="3">SUM(AM4:AO4)</f>
        <v>91</v>
      </c>
    </row>
    <row r="5" spans="2:47" ht="24" customHeight="1">
      <c r="B5" s="127">
        <v>3</v>
      </c>
      <c r="C5" s="486" t="str">
        <f>IF(GROUPS!H21="","",GROUPS!H21)</f>
        <v>Милчо Чачаров (50)</v>
      </c>
      <c r="D5" s="478"/>
      <c r="E5" s="479"/>
      <c r="F5" s="232">
        <f>U9</f>
        <v>2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5</v>
      </c>
      <c r="O5" s="135">
        <f>IF(AND(U9="",T14="",T18=""),"",SUM(G5,I5,M5))</f>
        <v>6</v>
      </c>
      <c r="P5" s="136">
        <f>IF(AND(U9="",T14="",T18=""),"",AG5)</f>
        <v>98</v>
      </c>
      <c r="Q5" s="137">
        <f>IF(AND(U9="",T14="",T18=""),"",AP5)</f>
        <v>92</v>
      </c>
      <c r="R5" s="449">
        <f>IF(ISERROR(IF(AND(U9="",T14="",T18=""),"",SUM(AB5:AD5)+(N5-O5)/1000)+(AK5/10000)+(AG5/100000)),"",IF(AND(U9="",T14="",T18=""),"",SUM(AB5:AD5)+(N5-O5)/1000)+(AK5/10000)+(AG5/100000))</f>
        <v>4.0005800000000002</v>
      </c>
      <c r="S5" s="449"/>
      <c r="T5" s="138">
        <f>IF(ISERROR(IF(C5="","",RANK(R5,$R$3:$S$6,0))),"",IF(C5="","",RANK(R5,$R$3:$S$6,0)))</f>
        <v>3</v>
      </c>
      <c r="U5" s="9"/>
      <c r="V5" s="9"/>
      <c r="W5" s="7">
        <v>4</v>
      </c>
      <c r="X5" s="450" t="str">
        <f t="shared" si="0"/>
        <v>Вецко Соколовски (310)</v>
      </c>
      <c r="Y5" s="451"/>
      <c r="Z5" s="452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98</v>
      </c>
      <c r="AH5" s="10">
        <f>G9+I9+K9+M9+O9+Q9+S9</f>
        <v>43</v>
      </c>
      <c r="AI5" s="10">
        <f>F14+H14+J14+L14+N14+P14+R14</f>
        <v>33</v>
      </c>
      <c r="AJ5" s="10">
        <f>F18+H18+J18+L18+N18+P18+R18</f>
        <v>22</v>
      </c>
      <c r="AK5" s="444">
        <f t="shared" si="2"/>
        <v>6</v>
      </c>
      <c r="AL5" s="445"/>
      <c r="AM5" s="10">
        <f>AH3</f>
        <v>45</v>
      </c>
      <c r="AN5" s="10">
        <f>AI6</f>
        <v>14</v>
      </c>
      <c r="AO5" s="10">
        <f>AJ4</f>
        <v>33</v>
      </c>
      <c r="AP5" s="9">
        <f t="shared" si="3"/>
        <v>92</v>
      </c>
    </row>
    <row r="6" spans="2:47" ht="24" customHeight="1" thickBot="1">
      <c r="B6" s="142">
        <v>4</v>
      </c>
      <c r="C6" s="485" t="str">
        <f>IF(GROUPS!H22="","",GROUPS!H22)</f>
        <v>Вецко Соколовски (310)</v>
      </c>
      <c r="D6" s="483"/>
      <c r="E6" s="484"/>
      <c r="F6" s="233">
        <f>U17</f>
        <v>0</v>
      </c>
      <c r="G6" s="144">
        <f>T17</f>
        <v>3</v>
      </c>
      <c r="H6" s="145">
        <f>U10</f>
        <v>1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1</v>
      </c>
      <c r="O6" s="149">
        <f>IF(AND(U10="",U14="",U17=""),"",SUM(G6,I6,K6))</f>
        <v>9</v>
      </c>
      <c r="P6" s="150">
        <f>IF(AND(U10="",U14="",U17=""),"",AG6)</f>
        <v>57</v>
      </c>
      <c r="Q6" s="151">
        <f>IF(AND(U10="",U14="",U17=""),"",AP6)</f>
        <v>108</v>
      </c>
      <c r="R6" s="443">
        <f>IF(ISERROR(IF(AND(U10="",U14="",U17=""),"",SUM(AB6:AD6)+(N6-O6)/1000)+(AK6/10000)+(AG6/100000)),"",IF(AND(U10="",U14="",U17=""),"",SUM(AB6:AD6)+(N6-O6)/1000)+(AK6/10000)+(AG6/100000))</f>
        <v>2.9874700000000001</v>
      </c>
      <c r="S6" s="443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57</v>
      </c>
      <c r="AH6" s="10">
        <f>G10+I10+K10+M10+O10+Q10+S10</f>
        <v>28</v>
      </c>
      <c r="AI6" s="10">
        <f>G14+I14+K14+M14+O14+Q14+S14</f>
        <v>14</v>
      </c>
      <c r="AJ6" s="10">
        <f>G17+I17+K17+M17+O17+Q17+S17</f>
        <v>15</v>
      </c>
      <c r="AK6" s="444">
        <f t="shared" si="2"/>
        <v>-51</v>
      </c>
      <c r="AL6" s="445"/>
      <c r="AM6" s="10">
        <f>AH4</f>
        <v>42</v>
      </c>
      <c r="AN6" s="10">
        <f>AI5</f>
        <v>33</v>
      </c>
      <c r="AO6" s="10">
        <f>AJ3</f>
        <v>33</v>
      </c>
      <c r="AP6" s="9">
        <f t="shared" si="3"/>
        <v>108</v>
      </c>
    </row>
    <row r="7" spans="2:47" ht="19.5" thickBot="1">
      <c r="P7" s="153">
        <f>SUM(P3:P6)</f>
        <v>380</v>
      </c>
      <c r="Q7" s="153">
        <f>SUM(Q3:Q6)</f>
        <v>380</v>
      </c>
    </row>
    <row r="8" spans="2:47" ht="19.5" thickBot="1">
      <c r="B8" s="430" t="s">
        <v>7</v>
      </c>
      <c r="C8" s="435"/>
      <c r="D8" s="435"/>
      <c r="E8" s="431"/>
      <c r="F8" s="436" t="s">
        <v>8</v>
      </c>
      <c r="G8" s="437"/>
      <c r="H8" s="433" t="s">
        <v>9</v>
      </c>
      <c r="I8" s="437"/>
      <c r="J8" s="433" t="s">
        <v>10</v>
      </c>
      <c r="K8" s="437"/>
      <c r="L8" s="433" t="s">
        <v>11</v>
      </c>
      <c r="M8" s="437"/>
      <c r="N8" s="433" t="s">
        <v>12</v>
      </c>
      <c r="O8" s="437"/>
      <c r="P8" s="433" t="s">
        <v>13</v>
      </c>
      <c r="Q8" s="437"/>
      <c r="R8" s="433" t="s">
        <v>14</v>
      </c>
      <c r="S8" s="434"/>
      <c r="T8" s="430" t="s">
        <v>15</v>
      </c>
      <c r="U8" s="431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Сашо Љамов (127)</v>
      </c>
      <c r="D9" s="156">
        <v>3</v>
      </c>
      <c r="E9" s="157" t="str">
        <f>IF(C5="","",VLOOKUP(D9,$B$3:$E$6,2,FALSE))</f>
        <v>Милчо Чачаров (50)</v>
      </c>
      <c r="F9" s="158">
        <v>11</v>
      </c>
      <c r="G9" s="159">
        <v>7</v>
      </c>
      <c r="H9" s="160">
        <v>11</v>
      </c>
      <c r="I9" s="159">
        <v>5</v>
      </c>
      <c r="J9" s="158">
        <v>5</v>
      </c>
      <c r="K9" s="161">
        <v>11</v>
      </c>
      <c r="L9" s="160">
        <v>7</v>
      </c>
      <c r="M9" s="159">
        <v>11</v>
      </c>
      <c r="N9" s="158">
        <v>11</v>
      </c>
      <c r="O9" s="161">
        <v>9</v>
      </c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2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0</v>
      </c>
      <c r="AI9" s="10">
        <f>IF(M9="","",IF(M9&gt;L9,1,0))</f>
        <v>1</v>
      </c>
      <c r="AJ9" s="10">
        <f>IF(N9="","",IF(N9&gt;O9,1,0))</f>
        <v>1</v>
      </c>
      <c r="AK9" s="10">
        <f>IF(O9="","",IF(O9&gt;N9,1,0))</f>
        <v>0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Андреј Стојановски (47)</v>
      </c>
      <c r="D10" s="166">
        <v>4</v>
      </c>
      <c r="E10" s="167" t="str">
        <f>IF(C6="","",VLOOKUP(D10,$B$3:$E$6,2,FALSE))</f>
        <v>Вецко Соколовски (310)</v>
      </c>
      <c r="F10" s="168">
        <v>11</v>
      </c>
      <c r="G10" s="169">
        <v>8</v>
      </c>
      <c r="H10" s="170">
        <v>11</v>
      </c>
      <c r="I10" s="169">
        <v>6</v>
      </c>
      <c r="J10" s="168">
        <v>9</v>
      </c>
      <c r="K10" s="171">
        <v>11</v>
      </c>
      <c r="L10" s="170">
        <v>11</v>
      </c>
      <c r="M10" s="169">
        <v>3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0" t="s">
        <v>16</v>
      </c>
      <c r="C12" s="435"/>
      <c r="D12" s="435"/>
      <c r="E12" s="431"/>
      <c r="F12" s="436" t="s">
        <v>8</v>
      </c>
      <c r="G12" s="437"/>
      <c r="H12" s="433" t="s">
        <v>9</v>
      </c>
      <c r="I12" s="437"/>
      <c r="J12" s="433" t="s">
        <v>10</v>
      </c>
      <c r="K12" s="437"/>
      <c r="L12" s="433" t="s">
        <v>11</v>
      </c>
      <c r="M12" s="437"/>
      <c r="N12" s="433" t="s">
        <v>12</v>
      </c>
      <c r="O12" s="437"/>
      <c r="P12" s="433" t="s">
        <v>13</v>
      </c>
      <c r="Q12" s="437"/>
      <c r="R12" s="433" t="s">
        <v>14</v>
      </c>
      <c r="S12" s="434"/>
      <c r="T12" s="430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>Сашо Љамов (127)</v>
      </c>
      <c r="D13" s="156">
        <v>2</v>
      </c>
      <c r="E13" s="157" t="str">
        <f>IF(C4="","",VLOOKUP(D13,$B$3:$E$6,2,FALSE))</f>
        <v>Андреј Стојановски (47)</v>
      </c>
      <c r="F13" s="158">
        <v>11</v>
      </c>
      <c r="G13" s="159">
        <v>6</v>
      </c>
      <c r="H13" s="160">
        <v>8</v>
      </c>
      <c r="I13" s="159">
        <v>11</v>
      </c>
      <c r="J13" s="158">
        <v>11</v>
      </c>
      <c r="K13" s="161">
        <v>9</v>
      </c>
      <c r="L13" s="160">
        <v>11</v>
      </c>
      <c r="M13" s="159">
        <v>5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Милчо Чачаров (50)</v>
      </c>
      <c r="D14" s="166">
        <v>4</v>
      </c>
      <c r="E14" s="167" t="str">
        <f>IF(C6="","",VLOOKUP(D14,$B$3:$E$6,2,FALSE))</f>
        <v>Вецко Соколовски (310)</v>
      </c>
      <c r="F14" s="168">
        <v>11</v>
      </c>
      <c r="G14" s="169">
        <v>4</v>
      </c>
      <c r="H14" s="170">
        <v>11</v>
      </c>
      <c r="I14" s="169">
        <v>2</v>
      </c>
      <c r="J14" s="168">
        <v>11</v>
      </c>
      <c r="K14" s="171">
        <v>8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0" t="s">
        <v>17</v>
      </c>
      <c r="C16" s="435"/>
      <c r="D16" s="435"/>
      <c r="E16" s="431"/>
      <c r="F16" s="436" t="s">
        <v>8</v>
      </c>
      <c r="G16" s="437"/>
      <c r="H16" s="433" t="s">
        <v>9</v>
      </c>
      <c r="I16" s="437"/>
      <c r="J16" s="433" t="s">
        <v>10</v>
      </c>
      <c r="K16" s="437"/>
      <c r="L16" s="433" t="s">
        <v>11</v>
      </c>
      <c r="M16" s="437"/>
      <c r="N16" s="433" t="s">
        <v>12</v>
      </c>
      <c r="O16" s="437"/>
      <c r="P16" s="433" t="s">
        <v>13</v>
      </c>
      <c r="Q16" s="437"/>
      <c r="R16" s="433" t="s">
        <v>14</v>
      </c>
      <c r="S16" s="434"/>
      <c r="T16" s="430" t="s">
        <v>15</v>
      </c>
      <c r="U16" s="431"/>
    </row>
    <row r="17" spans="2:41">
      <c r="B17" s="154">
        <v>1</v>
      </c>
      <c r="C17" s="155" t="str">
        <f>IF(C3="","",VLOOKUP(B17,$B$3:$E$6,2,FALSE))</f>
        <v>Сашо Љамов (127)</v>
      </c>
      <c r="D17" s="156">
        <v>4</v>
      </c>
      <c r="E17" s="157" t="str">
        <f>IF(C6="","",VLOOKUP(D17,$B$3:$E$6,2,FALSE))</f>
        <v>Вецко Соколовски (310)</v>
      </c>
      <c r="F17" s="158">
        <v>11</v>
      </c>
      <c r="G17" s="159">
        <v>6</v>
      </c>
      <c r="H17" s="160">
        <v>11</v>
      </c>
      <c r="I17" s="159">
        <v>4</v>
      </c>
      <c r="J17" s="158">
        <v>11</v>
      </c>
      <c r="K17" s="161">
        <v>5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Милчо Чачаров (50)</v>
      </c>
      <c r="D18" s="166">
        <v>2</v>
      </c>
      <c r="E18" s="167" t="str">
        <f>IF(C4="","",VLOOKUP(D18,$B$3:$E$6,2,FALSE))</f>
        <v>Андреј Стојановски (47)</v>
      </c>
      <c r="F18" s="168">
        <v>9</v>
      </c>
      <c r="G18" s="169">
        <v>11</v>
      </c>
      <c r="H18" s="170">
        <v>7</v>
      </c>
      <c r="I18" s="169">
        <v>11</v>
      </c>
      <c r="J18" s="168">
        <v>6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Y16" sqref="Y1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9" t="s">
        <v>1</v>
      </c>
      <c r="R1" s="459"/>
      <c r="S1" s="459"/>
      <c r="T1" s="459"/>
      <c r="U1" s="45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8" t="s">
        <v>3</v>
      </c>
      <c r="D2" s="488"/>
      <c r="E2" s="489"/>
      <c r="F2" s="466">
        <v>1</v>
      </c>
      <c r="G2" s="464"/>
      <c r="H2" s="465">
        <v>2</v>
      </c>
      <c r="I2" s="464"/>
      <c r="J2" s="465">
        <v>3</v>
      </c>
      <c r="K2" s="464"/>
      <c r="L2" s="465">
        <v>4</v>
      </c>
      <c r="M2" s="466"/>
      <c r="N2" s="467" t="s">
        <v>4</v>
      </c>
      <c r="O2" s="468"/>
      <c r="P2" s="469" t="s">
        <v>84</v>
      </c>
      <c r="Q2" s="470"/>
      <c r="R2" s="471" t="s">
        <v>5</v>
      </c>
      <c r="S2" s="471"/>
      <c r="T2" s="126" t="s">
        <v>6</v>
      </c>
      <c r="W2" s="7">
        <v>1</v>
      </c>
      <c r="X2" s="453" t="str">
        <f>IF(ISERROR(INDEX($C$3:$C$6,MATCH(W2,$T$3:$T$6,0))),"",(INDEX($C$3:$C$6,MATCH(W2,$T$3:$T$6,0))))</f>
        <v>Александар Јакимовски (178)</v>
      </c>
      <c r="Y2" s="454"/>
      <c r="Z2" s="455"/>
      <c r="AB2" s="456" t="s">
        <v>85</v>
      </c>
      <c r="AC2" s="456"/>
      <c r="AD2" s="456"/>
      <c r="AE2" s="456"/>
      <c r="AG2" s="6" t="s">
        <v>86</v>
      </c>
      <c r="AK2" s="457" t="s">
        <v>87</v>
      </c>
      <c r="AL2" s="457"/>
      <c r="AP2" s="6" t="s">
        <v>88</v>
      </c>
    </row>
    <row r="3" spans="2:47" ht="24" customHeight="1">
      <c r="B3" s="127">
        <v>1</v>
      </c>
      <c r="C3" s="490" t="str">
        <f>IF(GROUPS!J19="","",GROUPS!J19)</f>
        <v>Александар Јакимовски (178)</v>
      </c>
      <c r="D3" s="491"/>
      <c r="E3" s="492"/>
      <c r="F3" s="231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1</v>
      </c>
      <c r="P3" s="136">
        <f>IF(AND(T9="",T13="",T17=""),"",AG3)</f>
        <v>110</v>
      </c>
      <c r="Q3" s="137">
        <f>IF(AND(T9="",T13="",T17=""),"",AP3)</f>
        <v>70</v>
      </c>
      <c r="R3" s="449">
        <f>IF(ISERROR(IF(AND(T9="",T13="",T17=""),"",SUM(AB3:AD3)+(N3-O3)/1000)+(AK3/10000)),"",IF(AND(T9="",T13="",T17=""),"",SUM(AB3:AD3)+(N3-O3)/1000)+(AK3/10000)+(AG3/100000))</f>
        <v>6.0130999999999997</v>
      </c>
      <c r="S3" s="449"/>
      <c r="T3" s="138">
        <f>IF(ISERROR(IF(C3="","",RANK(R3,$R$3:$S$6,0))),"",IF(C3="","",RANK(R3,$R$3:$S$6,0)))</f>
        <v>1</v>
      </c>
      <c r="U3" s="9"/>
      <c r="V3" s="9"/>
      <c r="W3" s="7">
        <v>2</v>
      </c>
      <c r="X3" s="453" t="str">
        <f t="shared" ref="X3:X5" si="0">IF(ISERROR(INDEX($C$3:$C$6,MATCH(W3,$T$3:$T$6,0))),"",(INDEX($C$3:$C$6,MATCH(W3,$T$3:$T$6,0))))</f>
        <v>Ѓорѓе Бораниев (365)</v>
      </c>
      <c r="Y3" s="454"/>
      <c r="Z3" s="45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110</v>
      </c>
      <c r="AH3" s="10">
        <f>F9+H9+J9+L9+N9+P9+R9</f>
        <v>35</v>
      </c>
      <c r="AI3" s="10">
        <f>F13+H13+J13+L13+N13+P13+R13</f>
        <v>42</v>
      </c>
      <c r="AJ3" s="10">
        <f>F17+H17+J17+L17+N17+P17+R17</f>
        <v>33</v>
      </c>
      <c r="AK3" s="444">
        <f>SUM(AH3:AJ3)-SUM(AM3:AO3)</f>
        <v>40</v>
      </c>
      <c r="AL3" s="445"/>
      <c r="AM3" s="10">
        <f>AH5</f>
        <v>24</v>
      </c>
      <c r="AN3" s="10">
        <f>AI4</f>
        <v>33</v>
      </c>
      <c r="AO3" s="10">
        <f>AJ6</f>
        <v>13</v>
      </c>
      <c r="AP3" s="9">
        <f>SUM(AM3:AO3)</f>
        <v>70</v>
      </c>
    </row>
    <row r="4" spans="2:47" ht="24" customHeight="1">
      <c r="B4" s="127">
        <v>2</v>
      </c>
      <c r="C4" s="486" t="str">
        <f>IF(GROUPS!J20="","",GROUPS!J20)</f>
        <v>Ѓорѓе Бораниев (365)</v>
      </c>
      <c r="D4" s="478"/>
      <c r="E4" s="479"/>
      <c r="F4" s="232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2</v>
      </c>
      <c r="L4" s="130">
        <f>T10</f>
        <v>3</v>
      </c>
      <c r="M4" s="141">
        <f>U10</f>
        <v>0</v>
      </c>
      <c r="N4" s="134">
        <f>IF(AND(T10="",U13="",U18=""),"",SUM(F4,J4,L4))</f>
        <v>7</v>
      </c>
      <c r="O4" s="135">
        <f>IF(AND(T10="",U13="",U18=""),"",SUM(G4,K4,M4))</f>
        <v>5</v>
      </c>
      <c r="P4" s="136">
        <f>IF(AND(T10="",U13="",U18=""),"",AG4)</f>
        <v>117</v>
      </c>
      <c r="Q4" s="137">
        <f>IF(AND(T10="",U13="",U18=""),"",AP4)</f>
        <v>99</v>
      </c>
      <c r="R4" s="449">
        <f>IF(ISERROR(IF(AND(T10="",U13="",U18=""),"",SUM(AB4:AD4)+(N4-O4)/1000)+(AK4/10000)+(AG4/100000)),"",IF(AND(T10="",U13="",U18=""),"",SUM(AB4:AD4)+(N4-O4)/1000)+(AK4/10000)+(AG4/100000))</f>
        <v>5.0049700000000001</v>
      </c>
      <c r="S4" s="449"/>
      <c r="T4" s="138">
        <f>IF(ISERROR(IF(C4="","",RANK(R4,$R$3:$S$6,0))),"",IF(C4="","",RANK(R4,$R$3:$S$6,0)))</f>
        <v>2</v>
      </c>
      <c r="U4" s="9"/>
      <c r="V4" s="9"/>
      <c r="W4" s="7">
        <v>3</v>
      </c>
      <c r="X4" s="450" t="str">
        <f t="shared" si="0"/>
        <v>Теодор Кировски  (5)</v>
      </c>
      <c r="Y4" s="451"/>
      <c r="Z4" s="452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117</v>
      </c>
      <c r="AH4" s="10">
        <f>F10+H10+J10+L10+N10+P10+R10</f>
        <v>33</v>
      </c>
      <c r="AI4" s="10">
        <f>G13+I13+K13+M13+O13+Q13+S13</f>
        <v>33</v>
      </c>
      <c r="AJ4" s="10">
        <f>G18+I18+K18+M18+O18+Q18+S18</f>
        <v>51</v>
      </c>
      <c r="AK4" s="444">
        <f t="shared" ref="AK4:AK6" si="2">SUM(AH4:AJ4)-SUM(AM4:AO4)</f>
        <v>18</v>
      </c>
      <c r="AL4" s="445"/>
      <c r="AM4" s="10">
        <f>AH6</f>
        <v>12</v>
      </c>
      <c r="AN4" s="10">
        <f>AI3</f>
        <v>42</v>
      </c>
      <c r="AO4" s="10">
        <f>AJ5</f>
        <v>45</v>
      </c>
      <c r="AP4" s="9">
        <f t="shared" ref="AP4:AP6" si="3">SUM(AM4:AO4)</f>
        <v>99</v>
      </c>
    </row>
    <row r="5" spans="2:47" ht="24" customHeight="1">
      <c r="B5" s="127">
        <v>3</v>
      </c>
      <c r="C5" s="486" t="str">
        <f>IF(GROUPS!J21="","",GROUPS!J21)</f>
        <v>Теодор Кировски  (5)</v>
      </c>
      <c r="D5" s="478"/>
      <c r="E5" s="479"/>
      <c r="F5" s="232">
        <f>U9</f>
        <v>0</v>
      </c>
      <c r="G5" s="132">
        <f>T9</f>
        <v>3</v>
      </c>
      <c r="H5" s="130">
        <f>T18</f>
        <v>2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5</v>
      </c>
      <c r="O5" s="135">
        <f>IF(AND(U9="",T14="",T18=""),"",SUM(G5,I5,M5))</f>
        <v>6</v>
      </c>
      <c r="P5" s="136">
        <f>IF(AND(U9="",T14="",T18=""),"",AG5)</f>
        <v>102</v>
      </c>
      <c r="Q5" s="137">
        <f>IF(AND(U9="",T14="",T18=""),"",AP5)</f>
        <v>98</v>
      </c>
      <c r="R5" s="449">
        <f>IF(ISERROR(IF(AND(U9="",T14="",T18=""),"",SUM(AB5:AD5)+(N5-O5)/1000)+(AK5/10000)+(AG5/100000)),"",IF(AND(U9="",T14="",T18=""),"",SUM(AB5:AD5)+(N5-O5)/1000)+(AK5/10000)+(AG5/100000))</f>
        <v>4.0004200000000001</v>
      </c>
      <c r="S5" s="449"/>
      <c r="T5" s="138">
        <f>IF(ISERROR(IF(C5="","",RANK(R5,$R$3:$S$6,0))),"",IF(C5="","",RANK(R5,$R$3:$S$6,0)))</f>
        <v>3</v>
      </c>
      <c r="U5" s="9"/>
      <c r="V5" s="9"/>
      <c r="W5" s="7">
        <v>4</v>
      </c>
      <c r="X5" s="450" t="str">
        <f t="shared" si="0"/>
        <v>Славе Југовски (138)</v>
      </c>
      <c r="Y5" s="451"/>
      <c r="Z5" s="452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102</v>
      </c>
      <c r="AH5" s="10">
        <f>G9+I9+K9+M9+O9+Q9+S9</f>
        <v>24</v>
      </c>
      <c r="AI5" s="10">
        <f>F14+H14+J14+L14+N14+P14+R14</f>
        <v>33</v>
      </c>
      <c r="AJ5" s="10">
        <f>F18+H18+J18+L18+N18+P18+R18</f>
        <v>45</v>
      </c>
      <c r="AK5" s="444">
        <f t="shared" si="2"/>
        <v>4</v>
      </c>
      <c r="AL5" s="445"/>
      <c r="AM5" s="10">
        <f>AH3</f>
        <v>35</v>
      </c>
      <c r="AN5" s="10">
        <f>AI6</f>
        <v>12</v>
      </c>
      <c r="AO5" s="10">
        <f>AJ4</f>
        <v>51</v>
      </c>
      <c r="AP5" s="9">
        <f t="shared" si="3"/>
        <v>98</v>
      </c>
    </row>
    <row r="6" spans="2:47" ht="24" customHeight="1" thickBot="1">
      <c r="B6" s="142">
        <v>4</v>
      </c>
      <c r="C6" s="485" t="str">
        <f>IF(GROUPS!J22="","",GROUPS!J22)</f>
        <v>Славе Југовски (138)</v>
      </c>
      <c r="D6" s="483"/>
      <c r="E6" s="484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37</v>
      </c>
      <c r="Q6" s="151">
        <f>IF(AND(U10="",U14="",U17=""),"",AP6)</f>
        <v>99</v>
      </c>
      <c r="R6" s="443">
        <f>IF(ISERROR(IF(AND(U10="",U14="",U17=""),"",SUM(AB6:AD6)+(N6-O6)/1000)+(AK6/10000)+(AG6/100000)),"",IF(AND(U10="",U14="",U17=""),"",SUM(AB6:AD6)+(N6-O6)/1000)+(AK6/10000)+(AG6/100000))</f>
        <v>2.9851700000000001</v>
      </c>
      <c r="S6" s="443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37</v>
      </c>
      <c r="AH6" s="10">
        <f>G10+I10+K10+M10+O10+Q10+S10</f>
        <v>12</v>
      </c>
      <c r="AI6" s="10">
        <f>G14+I14+K14+M14+O14+Q14+S14</f>
        <v>12</v>
      </c>
      <c r="AJ6" s="10">
        <f>G17+I17+K17+M17+O17+Q17+S17</f>
        <v>13</v>
      </c>
      <c r="AK6" s="444">
        <f t="shared" si="2"/>
        <v>-62</v>
      </c>
      <c r="AL6" s="445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366</v>
      </c>
      <c r="Q7" s="153">
        <f>SUM(Q3:Q6)</f>
        <v>366</v>
      </c>
    </row>
    <row r="8" spans="2:47" ht="19.5" thickBot="1">
      <c r="B8" s="430" t="s">
        <v>7</v>
      </c>
      <c r="C8" s="435"/>
      <c r="D8" s="435"/>
      <c r="E8" s="431"/>
      <c r="F8" s="436" t="s">
        <v>8</v>
      </c>
      <c r="G8" s="437"/>
      <c r="H8" s="433" t="s">
        <v>9</v>
      </c>
      <c r="I8" s="437"/>
      <c r="J8" s="433" t="s">
        <v>10</v>
      </c>
      <c r="K8" s="437"/>
      <c r="L8" s="433" t="s">
        <v>11</v>
      </c>
      <c r="M8" s="437"/>
      <c r="N8" s="433" t="s">
        <v>12</v>
      </c>
      <c r="O8" s="437"/>
      <c r="P8" s="433" t="s">
        <v>13</v>
      </c>
      <c r="Q8" s="437"/>
      <c r="R8" s="433" t="s">
        <v>14</v>
      </c>
      <c r="S8" s="434"/>
      <c r="T8" s="430" t="s">
        <v>15</v>
      </c>
      <c r="U8" s="431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Александар Јакимовски (178)</v>
      </c>
      <c r="D9" s="156">
        <v>3</v>
      </c>
      <c r="E9" s="157" t="str">
        <f>IF(C6="","",VLOOKUP(D9,$B$3:$E$6,2,FALSE))</f>
        <v>Теодор Кировски  (5)</v>
      </c>
      <c r="F9" s="158">
        <v>11</v>
      </c>
      <c r="G9" s="159">
        <v>4</v>
      </c>
      <c r="H9" s="160">
        <v>12</v>
      </c>
      <c r="I9" s="159">
        <v>10</v>
      </c>
      <c r="J9" s="158">
        <v>12</v>
      </c>
      <c r="K9" s="161">
        <v>10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Ѓорѓе Бораниев (365)</v>
      </c>
      <c r="D10" s="166">
        <v>4</v>
      </c>
      <c r="E10" s="167" t="str">
        <f>IF(C5="","",VLOOKUP(D10,$B$3:$E$6,2,FALSE))</f>
        <v>Славе Југовски (138)</v>
      </c>
      <c r="F10" s="168">
        <v>11</v>
      </c>
      <c r="G10" s="169">
        <v>4</v>
      </c>
      <c r="H10" s="170">
        <v>11</v>
      </c>
      <c r="I10" s="169">
        <v>5</v>
      </c>
      <c r="J10" s="168">
        <v>11</v>
      </c>
      <c r="K10" s="171">
        <v>3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0" t="s">
        <v>16</v>
      </c>
      <c r="C12" s="435"/>
      <c r="D12" s="435"/>
      <c r="E12" s="431"/>
      <c r="F12" s="436" t="s">
        <v>8</v>
      </c>
      <c r="G12" s="437"/>
      <c r="H12" s="433" t="s">
        <v>9</v>
      </c>
      <c r="I12" s="437"/>
      <c r="J12" s="433" t="s">
        <v>10</v>
      </c>
      <c r="K12" s="437"/>
      <c r="L12" s="433" t="s">
        <v>11</v>
      </c>
      <c r="M12" s="437"/>
      <c r="N12" s="433" t="s">
        <v>12</v>
      </c>
      <c r="O12" s="437"/>
      <c r="P12" s="433" t="s">
        <v>13</v>
      </c>
      <c r="Q12" s="437"/>
      <c r="R12" s="433" t="s">
        <v>14</v>
      </c>
      <c r="S12" s="434"/>
      <c r="T12" s="430" t="s">
        <v>15</v>
      </c>
      <c r="U12" s="431"/>
      <c r="AU12" s="176"/>
    </row>
    <row r="13" spans="2:47">
      <c r="B13" s="154">
        <v>1</v>
      </c>
      <c r="C13" s="174" t="str">
        <f>IF(C6="","",VLOOKUP(B13,$B$3:$E$6,2,FALSE))</f>
        <v>Александар Јакимовски (178)</v>
      </c>
      <c r="D13" s="156">
        <v>2</v>
      </c>
      <c r="E13" s="157" t="str">
        <f>IF(C5="","",VLOOKUP(D13,$B$3:$E$6,2,FALSE))</f>
        <v>Ѓорѓе Бораниев (365)</v>
      </c>
      <c r="F13" s="158">
        <v>11</v>
      </c>
      <c r="G13" s="159">
        <v>6</v>
      </c>
      <c r="H13" s="160">
        <v>9</v>
      </c>
      <c r="I13" s="159">
        <v>11</v>
      </c>
      <c r="J13" s="158">
        <v>11</v>
      </c>
      <c r="K13" s="161">
        <v>9</v>
      </c>
      <c r="L13" s="160">
        <v>11</v>
      </c>
      <c r="M13" s="159">
        <v>7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Теодор Кировски  (5)</v>
      </c>
      <c r="D14" s="166">
        <v>4</v>
      </c>
      <c r="E14" s="167" t="str">
        <f>IF(C4="","",VLOOKUP(D14,$B$3:$E$6,2,FALSE))</f>
        <v>Славе Југовски (138)</v>
      </c>
      <c r="F14" s="168">
        <v>11</v>
      </c>
      <c r="G14" s="169">
        <v>2</v>
      </c>
      <c r="H14" s="170">
        <v>11</v>
      </c>
      <c r="I14" s="169">
        <v>5</v>
      </c>
      <c r="J14" s="168">
        <v>11</v>
      </c>
      <c r="K14" s="171">
        <v>5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0" t="s">
        <v>17</v>
      </c>
      <c r="C16" s="435"/>
      <c r="D16" s="435"/>
      <c r="E16" s="431"/>
      <c r="F16" s="436" t="s">
        <v>8</v>
      </c>
      <c r="G16" s="437"/>
      <c r="H16" s="433" t="s">
        <v>9</v>
      </c>
      <c r="I16" s="437"/>
      <c r="J16" s="433" t="s">
        <v>10</v>
      </c>
      <c r="K16" s="437"/>
      <c r="L16" s="433" t="s">
        <v>11</v>
      </c>
      <c r="M16" s="437"/>
      <c r="N16" s="433" t="s">
        <v>12</v>
      </c>
      <c r="O16" s="437"/>
      <c r="P16" s="433" t="s">
        <v>13</v>
      </c>
      <c r="Q16" s="437"/>
      <c r="R16" s="433" t="s">
        <v>14</v>
      </c>
      <c r="S16" s="434"/>
      <c r="T16" s="430" t="s">
        <v>15</v>
      </c>
      <c r="U16" s="431"/>
    </row>
    <row r="17" spans="2:41">
      <c r="B17" s="154">
        <v>1</v>
      </c>
      <c r="C17" s="155" t="str">
        <f>IF(C5="","",VLOOKUP(B17,$B$3:$E$6,2,FALSE))</f>
        <v>Александар Јакимовски (178)</v>
      </c>
      <c r="D17" s="156">
        <v>4</v>
      </c>
      <c r="E17" s="157" t="str">
        <f>IF(C6="","",VLOOKUP(D17,$B$3:$E$6,2,FALSE))</f>
        <v>Славе Југовски (138)</v>
      </c>
      <c r="F17" s="158">
        <v>11</v>
      </c>
      <c r="G17" s="159">
        <v>4</v>
      </c>
      <c r="H17" s="160">
        <v>11</v>
      </c>
      <c r="I17" s="159">
        <v>5</v>
      </c>
      <c r="J17" s="158">
        <v>11</v>
      </c>
      <c r="K17" s="161">
        <v>4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Теодор Кировски  (5)</v>
      </c>
      <c r="D18" s="166">
        <v>2</v>
      </c>
      <c r="E18" s="167" t="str">
        <f>IF(C5="","",VLOOKUP(D18,$B$3:$E$6,2,FALSE))</f>
        <v>Ѓорѓе Бораниев (365)</v>
      </c>
      <c r="F18" s="168">
        <v>8</v>
      </c>
      <c r="G18" s="169">
        <v>11</v>
      </c>
      <c r="H18" s="170">
        <v>12</v>
      </c>
      <c r="I18" s="169">
        <v>10</v>
      </c>
      <c r="J18" s="168">
        <v>5</v>
      </c>
      <c r="K18" s="171">
        <v>11</v>
      </c>
      <c r="L18" s="170">
        <v>11</v>
      </c>
      <c r="M18" s="169">
        <v>8</v>
      </c>
      <c r="N18" s="168">
        <v>9</v>
      </c>
      <c r="O18" s="171">
        <v>11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2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F19" sqref="F19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503" t="s">
        <v>61</v>
      </c>
      <c r="D1" s="504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Филип Младеновски (70)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Бобан Лашкоски (17)</v>
      </c>
    </row>
    <row r="5" spans="2:42" ht="15.75">
      <c r="B5" s="252" t="s">
        <v>27</v>
      </c>
      <c r="C5" s="244">
        <v>3</v>
      </c>
      <c r="D5" s="245" t="str">
        <f>IF(' II'!$X$2="","",' II'!$X$2)</f>
        <v>Петар Костовски (12)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Роберт Михајловски (58)</v>
      </c>
    </row>
    <row r="7" spans="2:42" ht="15.75">
      <c r="B7" s="246" t="s">
        <v>29</v>
      </c>
      <c r="C7" s="247">
        <v>5</v>
      </c>
      <c r="D7" s="241" t="str">
        <f>IF(' III'!$X$2="","",' III'!$X$2)</f>
        <v>Кристијан Станојковски (10)</v>
      </c>
      <c r="F7" s="295">
        <v>1</v>
      </c>
      <c r="G7" s="122" t="str">
        <f>IF(F7="","",VLOOKUP(F7,$C$3:$D$8,2,FALSE))</f>
        <v>Филип Младеновски (70)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Мартин Калески (122)</v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605</v>
      </c>
      <c r="P12" s="102"/>
      <c r="AN12" s="61"/>
    </row>
    <row r="13" spans="2:42" ht="15.75">
      <c r="B13" s="78"/>
      <c r="C13" s="78">
        <v>3</v>
      </c>
      <c r="D13" s="358" t="s">
        <v>606</v>
      </c>
      <c r="P13" s="102"/>
      <c r="Q13" s="121" t="str">
        <f>G7</f>
        <v>Филип Младеновски (70)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505" t="str">
        <f>IF(AJ25="","",IF(AJ25&gt;AJ26,AB25,AB26))</f>
        <v/>
      </c>
    </row>
    <row r="16" spans="2:42" ht="15.75">
      <c r="C16" s="78"/>
      <c r="D16" s="74"/>
      <c r="P16" s="102"/>
      <c r="Y16" s="106"/>
      <c r="AM16" s="505" t="str">
        <f>IF(AJ25="","",IF(AJ25&lt;AJ26,AB25,AB26))</f>
        <v/>
      </c>
      <c r="AN16" s="505"/>
      <c r="AO16" s="506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505"/>
      <c r="AN17" s="505"/>
      <c r="AO17" s="506"/>
      <c r="AP17" s="42"/>
    </row>
    <row r="18" spans="3:42" ht="15.75">
      <c r="C18" s="78"/>
      <c r="D18" s="74"/>
      <c r="P18" s="102"/>
      <c r="Y18" s="106"/>
      <c r="AJ18" s="34"/>
      <c r="AM18" s="505"/>
      <c r="AO18" s="506"/>
    </row>
    <row r="19" spans="3:42" ht="16.5" thickBot="1">
      <c r="C19" s="78"/>
      <c r="D19" s="74"/>
      <c r="F19" s="295"/>
      <c r="G19" s="122" t="str">
        <f>IF(F19="","",VLOOKUP(F19,$C$3:$D$8,2,FALSE))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507" t="str">
        <f>IF(AJ25=AJ26,"",IF(OR(AJ34&gt;AJ35,AJ34&lt;AJ35),"",AB35))</f>
        <v/>
      </c>
    </row>
    <row r="20" spans="3:42" ht="16.5" thickBot="1">
      <c r="C20" s="78"/>
      <c r="D20" s="74"/>
      <c r="F20" s="295"/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509" t="s">
        <v>58</v>
      </c>
      <c r="AO20" s="507"/>
    </row>
    <row r="21" spans="3:42" ht="16.5" thickBot="1">
      <c r="C21" s="78"/>
      <c r="D21" s="74"/>
      <c r="Y21" s="106"/>
      <c r="AK21" s="49"/>
      <c r="AL21" s="49"/>
      <c r="AM21" s="512" t="s">
        <v>59</v>
      </c>
      <c r="AN21" s="510"/>
      <c r="AO21" s="508"/>
      <c r="AP21" s="42"/>
    </row>
    <row r="22" spans="3:42" ht="15.75">
      <c r="C22" s="78"/>
      <c r="D22" s="74"/>
      <c r="Y22" s="106"/>
      <c r="AK22" s="49"/>
      <c r="AL22" s="49"/>
      <c r="AM22" s="513"/>
      <c r="AN22" s="510"/>
      <c r="AO22" s="515" t="s">
        <v>60</v>
      </c>
    </row>
    <row r="23" spans="3:42" ht="16.5" thickBot="1">
      <c r="C23" s="78"/>
      <c r="D23" s="74"/>
      <c r="Y23" s="106"/>
      <c r="AK23" s="49"/>
      <c r="AL23" s="49"/>
      <c r="AM23" s="514"/>
      <c r="AN23" s="511"/>
      <c r="AO23" s="516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94" t="s">
        <v>81</v>
      </c>
      <c r="AM27" s="495"/>
      <c r="AN27" s="495"/>
      <c r="AO27" s="495"/>
      <c r="AP27" s="496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7" t="str">
        <f>IF(AJ25="","",IF(AJ25&gt;AJ26,AB25,AB26))</f>
        <v/>
      </c>
      <c r="AO28" s="497"/>
      <c r="AP28" s="497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98" t="str">
        <f>IF(AJ25="","",IF(AJ25&lt;AJ26,AB25,AB26))</f>
        <v/>
      </c>
      <c r="AO29" s="498"/>
      <c r="AP29" s="498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9" t="str">
        <f>IF(AJ25=AJ26,"",IF(AJ34=AJ35,AB34,IF(AJ34&gt;AJ35,AB34,AB35)))</f>
        <v/>
      </c>
      <c r="AO30" s="499"/>
      <c r="AP30" s="499"/>
    </row>
    <row r="31" spans="3:42" ht="15.75">
      <c r="C31" s="73"/>
      <c r="D31" s="74"/>
      <c r="E31" s="48"/>
      <c r="F31" s="295"/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9" t="str">
        <f>IF(AJ25=AJ26,"",IF(AJ34=AJ35,AB35,IF(AJ34&lt;AJ35,AB34,AB35)))</f>
        <v/>
      </c>
      <c r="AO31" s="499"/>
      <c r="AP31" s="499"/>
    </row>
    <row r="32" spans="3:42" ht="15.75">
      <c r="C32" s="73"/>
      <c r="D32" s="74"/>
      <c r="E32" s="48"/>
      <c r="F32" s="295"/>
      <c r="G32" s="122" t="str">
        <f>IF(F32="","",VLOOKUP(F32,$C$3:$D$8,2,FALSE))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00" t="str">
        <f>IF(O7="","",IF(O7&lt;O8,G7,G8))</f>
        <v/>
      </c>
      <c r="AO32" s="500"/>
      <c r="AP32" s="500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500" t="str">
        <f>IF(O19="","",IF(O19&lt;O20,G19,G20))</f>
        <v/>
      </c>
      <c r="AO33" s="500"/>
      <c r="AP33" s="500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00" t="str">
        <f>IF(O31="","",IF(O31&lt;O32,G31,G32))</f>
        <v/>
      </c>
      <c r="AO34" s="500"/>
      <c r="AP34" s="500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501" t="str">
        <f>IF(O43="","",IF(O43&lt;O44,G43,G44))</f>
        <v/>
      </c>
      <c r="AO35" s="501"/>
      <c r="AP35" s="501"/>
    </row>
    <row r="36" spans="3:42">
      <c r="P36" s="102"/>
      <c r="Y36" s="107"/>
      <c r="AK36" s="49"/>
      <c r="AL36" s="190"/>
      <c r="AM36" s="191"/>
      <c r="AN36" s="502"/>
      <c r="AO36" s="502"/>
      <c r="AP36" s="502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93"/>
      <c r="AO37" s="493"/>
      <c r="AP37" s="493"/>
    </row>
    <row r="38" spans="3:42">
      <c r="P38" s="108"/>
      <c r="Q38" s="121" t="str">
        <f>G44</f>
        <v>Петар Костовски (12)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3"/>
      <c r="AO38" s="493"/>
      <c r="AP38" s="493"/>
    </row>
    <row r="39" spans="3:42">
      <c r="P39" s="102"/>
      <c r="AK39" s="49"/>
      <c r="AL39" s="189"/>
      <c r="AM39" s="75"/>
      <c r="AN39" s="493"/>
      <c r="AO39" s="493"/>
      <c r="AP39" s="493"/>
    </row>
    <row r="40" spans="3:42">
      <c r="P40" s="102"/>
      <c r="AK40" s="49"/>
      <c r="AL40" s="189"/>
      <c r="AM40" s="75"/>
      <c r="AN40" s="493"/>
      <c r="AO40" s="493"/>
      <c r="AP40" s="493"/>
    </row>
    <row r="41" spans="3:42">
      <c r="C41" s="42"/>
      <c r="D41" s="42"/>
      <c r="O41" s="34"/>
      <c r="P41" s="102"/>
      <c r="AK41" s="49"/>
      <c r="AL41" s="189"/>
      <c r="AM41" s="75"/>
      <c r="AN41" s="493"/>
      <c r="AO41" s="493"/>
      <c r="AP41" s="493"/>
    </row>
    <row r="42" spans="3:42">
      <c r="E42" s="48"/>
      <c r="O42" s="34"/>
      <c r="P42" s="102"/>
      <c r="AK42" s="49"/>
      <c r="AL42" s="189"/>
      <c r="AM42" s="75"/>
      <c r="AN42" s="493"/>
      <c r="AO42" s="493"/>
      <c r="AP42" s="493"/>
    </row>
    <row r="43" spans="3:42">
      <c r="E43" s="48"/>
      <c r="O43" s="296"/>
      <c r="AK43" s="49"/>
      <c r="AL43" s="189"/>
      <c r="AM43" s="75"/>
      <c r="AN43" s="493"/>
      <c r="AO43" s="493"/>
      <c r="AP43" s="493"/>
    </row>
    <row r="44" spans="3:42">
      <c r="E44" s="48"/>
      <c r="F44" s="295">
        <v>3</v>
      </c>
      <c r="G44" s="122" t="str">
        <f>IF(F44="","",VLOOKUP(F44,$C$3:$D$8,2,FALSE))</f>
        <v>Петар Костовски (12)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93"/>
      <c r="AO50" s="493"/>
      <c r="AP50" s="493"/>
    </row>
    <row r="51" spans="3:42">
      <c r="AM51" s="75"/>
      <c r="AN51" s="493"/>
      <c r="AO51" s="493"/>
      <c r="AP51" s="493"/>
    </row>
    <row r="52" spans="3:42">
      <c r="AM52" s="75"/>
      <c r="AN52" s="493"/>
      <c r="AO52" s="493"/>
      <c r="AP52" s="493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F39" sqref="F39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17" t="s">
        <v>61</v>
      </c>
      <c r="D1" s="504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Филип Младеновски (70)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Бобан Лашкоски (17)</v>
      </c>
    </row>
    <row r="5" spans="2:47" ht="15.75">
      <c r="B5" s="64" t="s">
        <v>27</v>
      </c>
      <c r="C5" s="64">
        <v>3</v>
      </c>
      <c r="D5" s="29" t="str">
        <f>IF(' II'!$X$2="","",' II'!$X$2)</f>
        <v>Петар Костовски (12)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Роберт Михајловски (58)</v>
      </c>
    </row>
    <row r="7" spans="2:47" ht="15.75">
      <c r="B7" s="64" t="s">
        <v>29</v>
      </c>
      <c r="C7" s="64">
        <v>5</v>
      </c>
      <c r="D7" s="25" t="str">
        <f>IF(' III'!$X$2="","",' III'!$X$2)</f>
        <v>Кристијан Станојковски (10)</v>
      </c>
      <c r="F7" s="357">
        <v>1</v>
      </c>
      <c r="G7" s="177" t="str">
        <f>IF(F7="","",VLOOKUP(F7,$C$3:$D$10,2,FALSE))</f>
        <v>Филип Младеновски (70)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Мартин Калески (122)</v>
      </c>
      <c r="F8" s="357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>Дамјан Стојчев (72)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Кристијан Каламадевски (347)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605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58" t="s">
        <v>606</v>
      </c>
      <c r="P15" s="102"/>
      <c r="Y15" s="105"/>
      <c r="AN15" s="505" t="str">
        <f>IF(AJ25="","",IF(AJ25&gt;AJ26,AB25,AB26))</f>
        <v/>
      </c>
    </row>
    <row r="16" spans="2:47" ht="15.75">
      <c r="B16" s="78"/>
      <c r="C16" s="78">
        <v>5</v>
      </c>
      <c r="D16" s="358" t="s">
        <v>607</v>
      </c>
      <c r="P16" s="102"/>
      <c r="Y16" s="106"/>
      <c r="AM16" s="505" t="str">
        <f>IF(AJ25="","",IF(AJ25&lt;AJ26,AB25,AB26))</f>
        <v/>
      </c>
      <c r="AN16" s="505"/>
      <c r="AO16" s="506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505"/>
      <c r="AN17" s="505"/>
      <c r="AO17" s="506"/>
    </row>
    <row r="18" spans="1:42" ht="15.75">
      <c r="B18" s="78"/>
      <c r="C18" s="78"/>
      <c r="D18" s="74"/>
      <c r="P18" s="102"/>
      <c r="Y18" s="106"/>
      <c r="AJ18" s="34"/>
      <c r="AM18" s="505"/>
      <c r="AO18" s="506"/>
    </row>
    <row r="19" spans="1:42" ht="16.5" thickBot="1">
      <c r="A19" s="49"/>
      <c r="B19" s="49"/>
      <c r="C19" s="78"/>
      <c r="D19" s="74"/>
      <c r="F19" s="357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507" t="str">
        <f>IF(AJ25=AJ26,"",IF(OR(AJ34&gt;AJ35,AJ34&lt;AJ35),"",AB35))</f>
        <v/>
      </c>
    </row>
    <row r="20" spans="1:42" ht="16.5" thickBot="1">
      <c r="A20" s="49"/>
      <c r="B20" s="49"/>
      <c r="C20" s="78"/>
      <c r="D20" s="352">
        <v>5.7</v>
      </c>
      <c r="F20" s="357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509" t="s">
        <v>58</v>
      </c>
      <c r="AO20" s="507"/>
    </row>
    <row r="21" spans="1:42" s="42" customFormat="1" ht="16.149999999999999" customHeight="1" thickBot="1">
      <c r="A21" s="49"/>
      <c r="B21" s="49"/>
      <c r="C21" s="518" t="s">
        <v>609</v>
      </c>
      <c r="D21" s="518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512" t="s">
        <v>59</v>
      </c>
      <c r="AN21" s="510"/>
      <c r="AO21" s="508"/>
    </row>
    <row r="22" spans="1:42" ht="15.6" customHeight="1">
      <c r="A22" s="49"/>
      <c r="B22" s="49"/>
      <c r="C22" s="518"/>
      <c r="D22" s="518"/>
      <c r="Y22" s="106"/>
      <c r="AK22" s="49"/>
      <c r="AL22" s="49"/>
      <c r="AM22" s="513"/>
      <c r="AN22" s="510"/>
      <c r="AO22" s="515" t="s">
        <v>60</v>
      </c>
    </row>
    <row r="23" spans="1:42" ht="16.149999999999999" customHeight="1" thickBot="1">
      <c r="A23" s="49"/>
      <c r="B23" s="49"/>
      <c r="C23" s="518"/>
      <c r="D23" s="518"/>
      <c r="Y23" s="106"/>
      <c r="AK23" s="49"/>
      <c r="AL23" s="49"/>
      <c r="AM23" s="514"/>
      <c r="AN23" s="511"/>
      <c r="AO23" s="516"/>
    </row>
    <row r="24" spans="1:42" ht="15.6" customHeight="1">
      <c r="A24" s="49"/>
      <c r="B24" s="49"/>
      <c r="C24" s="518"/>
      <c r="D24" s="518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94" t="s">
        <v>81</v>
      </c>
      <c r="AM27" s="495"/>
      <c r="AN27" s="495"/>
      <c r="AO27" s="495"/>
      <c r="AP27" s="496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7" t="str">
        <f>IF(AJ25="","",IF(AJ25&gt;AJ26,AB25,AB26))</f>
        <v/>
      </c>
      <c r="AO28" s="497"/>
      <c r="AP28" s="497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8" t="str">
        <f>IF(AJ25="","",IF(AJ25&lt;AJ26,AB25,AB26))</f>
        <v/>
      </c>
      <c r="AO29" s="498"/>
      <c r="AP29" s="498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9" t="str">
        <f>IF(AJ25=AJ26,"",IF(AJ34=AJ35,AB34,IF(AJ34&gt;AJ35,AB34,AB35)))</f>
        <v/>
      </c>
      <c r="AO30" s="499"/>
      <c r="AP30" s="499"/>
    </row>
    <row r="31" spans="1:42" ht="15.75">
      <c r="C31" s="73"/>
      <c r="D31" s="352">
        <v>5.7</v>
      </c>
      <c r="F31" s="357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9" t="str">
        <f>IF(AJ25=AJ26,"",IF(AJ34=AJ35,AB35,IF(AJ34&lt;AJ35,AB34,AB35)))</f>
        <v/>
      </c>
      <c r="AO31" s="499"/>
      <c r="AP31" s="499"/>
    </row>
    <row r="32" spans="1:42" ht="15.75">
      <c r="C32" s="73"/>
      <c r="D32" s="74"/>
      <c r="F32" s="357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00" t="str">
        <f>IF(O7="","",IF(O7&lt;O8,G7,G8))</f>
        <v/>
      </c>
      <c r="AO32" s="500"/>
      <c r="AP32" s="500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500" t="str">
        <f>IF(O19="","",IF(O19&lt;O20,G19,G20))</f>
        <v/>
      </c>
      <c r="AO33" s="500"/>
      <c r="AP33" s="500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00" t="str">
        <f>IF(O31="","",IF(O31&lt;O32,G31,G32))</f>
        <v/>
      </c>
      <c r="AO34" s="500"/>
      <c r="AP34" s="500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500" t="str">
        <f>IF(O43="","",IF(O43&lt;O44,G43,G44))</f>
        <v/>
      </c>
      <c r="AO35" s="500"/>
      <c r="AP35" s="500"/>
    </row>
    <row r="36" spans="3:42">
      <c r="P36" s="102"/>
      <c r="Y36" s="107"/>
      <c r="AK36" s="49"/>
      <c r="AL36" s="189"/>
      <c r="AM36" s="75"/>
      <c r="AN36" s="493"/>
      <c r="AO36" s="493"/>
      <c r="AP36" s="493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93"/>
      <c r="AO37" s="493"/>
      <c r="AP37" s="493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3"/>
      <c r="AO38" s="493"/>
      <c r="AP38" s="493"/>
    </row>
    <row r="39" spans="3:42">
      <c r="P39" s="102"/>
      <c r="AK39" s="49"/>
      <c r="AL39" s="189"/>
      <c r="AM39" s="75"/>
      <c r="AN39" s="493"/>
      <c r="AO39" s="493"/>
      <c r="AP39" s="493"/>
    </row>
    <row r="40" spans="3:42">
      <c r="P40" s="102"/>
      <c r="AK40" s="49"/>
      <c r="AL40" s="189"/>
      <c r="AM40" s="75"/>
      <c r="AN40" s="493"/>
      <c r="AO40" s="493"/>
      <c r="AP40" s="493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93"/>
      <c r="AO41" s="493"/>
      <c r="AP41" s="493"/>
    </row>
    <row r="42" spans="3:42">
      <c r="O42" s="34"/>
      <c r="P42" s="102"/>
      <c r="AK42" s="49"/>
      <c r="AL42" s="189"/>
      <c r="AM42" s="75"/>
      <c r="AN42" s="493"/>
      <c r="AO42" s="493"/>
      <c r="AP42" s="493"/>
    </row>
    <row r="43" spans="3:42">
      <c r="F43" s="357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93"/>
      <c r="AO43" s="493"/>
      <c r="AP43" s="493"/>
    </row>
    <row r="44" spans="3:42">
      <c r="F44" s="357">
        <v>3</v>
      </c>
      <c r="G44" s="177" t="str">
        <f>IF(F44="","",VLOOKUP(F44,$C$3:$D$10,2,FALSE))</f>
        <v>Петар Костовски (12)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93"/>
      <c r="AO50" s="493"/>
      <c r="AP50" s="493"/>
    </row>
    <row r="51" spans="6:42">
      <c r="AM51" s="75"/>
      <c r="AN51" s="493"/>
      <c r="AO51" s="493"/>
      <c r="AP51" s="493"/>
    </row>
    <row r="52" spans="6:42">
      <c r="AM52" s="75"/>
      <c r="AN52" s="493"/>
      <c r="AO52" s="493"/>
      <c r="AP52" s="493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opLeftCell="A10" workbookViewId="0">
      <selection activeCell="D31" sqref="D31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503" t="s">
        <v>61</v>
      </c>
      <c r="D1" s="504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Филип Младеновски (70)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Бобан Лашкоски (17)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Петар Костовски (12)</v>
      </c>
      <c r="F5" s="181">
        <v>1</v>
      </c>
      <c r="G5" s="182" t="str">
        <f>IF(F5="","",VLOOKUP(F5,$C$3:$D$18,2,FALSE))</f>
        <v>Филип Младеновски (70)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Роберт Михајловски (58)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Кристијан Станојковски (10)</v>
      </c>
      <c r="F7" s="179"/>
      <c r="P7" s="102"/>
      <c r="Q7" s="122" t="str">
        <f>G5</f>
        <v>Филип Младеновски (70)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Мартин Калески (122)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>Дамјан Стојчев (72)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Кристијан Каламадевски (347)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>Алeксандар Марковиќ (3)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>Зоран Димитријевски (74)</v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>Лука Стојчев (73)</v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>Андреј Васевски (203)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505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505" t="str">
        <f>IF(AT25="","",IF(AT25&lt;AT26,AL25,AL26))</f>
        <v/>
      </c>
      <c r="AX16" s="505"/>
      <c r="AY16" s="506" t="str">
        <f>IF(AT25=AT26,"",IF(AT34=AT35,AL34,IF(AT34&gt;AT35,AL34,AL35)))</f>
        <v/>
      </c>
    </row>
    <row r="17" spans="3:52" ht="15.75">
      <c r="C17" s="78"/>
      <c r="D17" s="74"/>
      <c r="E17" t="s">
        <v>711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505"/>
      <c r="AX17" s="505"/>
      <c r="AY17" s="506"/>
      <c r="AZ17" s="42"/>
    </row>
    <row r="18" spans="3:52" ht="15.75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505"/>
      <c r="AY18" s="506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507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20" t="s">
        <v>58</v>
      </c>
      <c r="AY20" s="507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23" t="s">
        <v>59</v>
      </c>
      <c r="AX21" s="521"/>
      <c r="AY21" s="508"/>
      <c r="AZ21" s="42"/>
    </row>
    <row r="22" spans="3:52" ht="15.75">
      <c r="C22" s="78"/>
      <c r="D22" s="74"/>
      <c r="F22" s="390"/>
      <c r="G22" s="391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2" t="str">
        <f>IF(H22="","",SUMPRODUCT(--(H22:N22&gt;H23:N23)))</f>
        <v/>
      </c>
      <c r="AI22" s="106"/>
      <c r="AU22" s="49"/>
      <c r="AV22" s="49"/>
      <c r="AW22" s="524"/>
      <c r="AX22" s="521"/>
      <c r="AY22" s="526" t="s">
        <v>60</v>
      </c>
    </row>
    <row r="23" spans="3:52" ht="16.5" thickBot="1">
      <c r="C23" s="78"/>
      <c r="D23" s="74"/>
      <c r="E23" t="s">
        <v>710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25"/>
      <c r="AX23" s="522"/>
      <c r="AY23" s="527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94" t="s">
        <v>81</v>
      </c>
      <c r="AW27" s="495"/>
      <c r="AX27" s="495"/>
      <c r="AY27" s="495"/>
      <c r="AZ27" s="496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9" t="str">
        <f>IF(AT25="","",IF(AT25&gt;AT26,AL25,AL26))</f>
        <v/>
      </c>
      <c r="AY28" s="519"/>
      <c r="AZ28" s="519"/>
    </row>
    <row r="29" spans="3:52" ht="15.75">
      <c r="C29" s="73"/>
      <c r="D29" s="74"/>
      <c r="E29" t="s">
        <v>710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8" t="str">
        <f>IF(AT25="","",IF(AT25&lt;AT26,AL25,AL26))</f>
        <v/>
      </c>
      <c r="AY29" s="498"/>
      <c r="AZ29" s="498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9" t="str">
        <f>IF(AT25=AT26,"",IF(AT34=AT35,AL34,IF(AT34&gt;AT35,AL34,AL35)))</f>
        <v/>
      </c>
      <c r="AY30" s="499"/>
      <c r="AZ30" s="499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9" t="str">
        <f>IF(AT25=AT26,"",IF(AT34=AT35,AL35,IF(AT34&lt;AT35,AL34,AL35)))</f>
        <v/>
      </c>
      <c r="AY31" s="499"/>
      <c r="AZ31" s="499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500" t="str">
        <f>IF(Y7="","",IF(Y7&lt;Y8,Q7,Q8))</f>
        <v/>
      </c>
      <c r="AY32" s="500"/>
      <c r="AZ32" s="500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500" t="str">
        <f>IF(Y19="","",IF(Y19&lt;Y20,Q19,Q20))</f>
        <v/>
      </c>
      <c r="AY33" s="500"/>
      <c r="AZ33" s="500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00" t="str">
        <f>IF(Y31="","",IF(Y31&lt;Y32,Q31,Q32))</f>
        <v/>
      </c>
      <c r="AY34" s="500"/>
      <c r="AZ34" s="500"/>
    </row>
    <row r="35" spans="3:52">
      <c r="E35" t="s">
        <v>711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501" t="str">
        <f>IF(Y43="","",IF(Y43&lt;Y44,Q43,Q44))</f>
        <v/>
      </c>
      <c r="AY35" s="501"/>
      <c r="AZ35" s="501"/>
    </row>
    <row r="36" spans="3:52">
      <c r="F36" s="179"/>
      <c r="Z36" s="102"/>
      <c r="AI36" s="107"/>
      <c r="AU36" s="49"/>
      <c r="AV36" s="190"/>
      <c r="AW36" s="191"/>
      <c r="AX36" s="502"/>
      <c r="AY36" s="502"/>
      <c r="AZ36" s="502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93"/>
      <c r="AY37" s="493"/>
      <c r="AZ37" s="493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93"/>
      <c r="AY38" s="493"/>
      <c r="AZ38" s="493"/>
    </row>
    <row r="39" spans="3:52">
      <c r="F39" s="179"/>
      <c r="Z39" s="102"/>
      <c r="AU39" s="49"/>
      <c r="AV39" s="189"/>
      <c r="AW39" s="75"/>
      <c r="AX39" s="493"/>
      <c r="AY39" s="493"/>
      <c r="AZ39" s="493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93"/>
      <c r="AY40" s="493"/>
      <c r="AZ40" s="493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93"/>
      <c r="AY41" s="493"/>
      <c r="AZ41" s="493"/>
    </row>
    <row r="42" spans="3:52" ht="15.75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493"/>
      <c r="AY42" s="493"/>
      <c r="AZ42" s="493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93"/>
      <c r="AY43" s="493"/>
      <c r="AZ43" s="493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90"/>
      <c r="G46" s="391"/>
      <c r="H46" s="266"/>
      <c r="I46" s="266"/>
      <c r="J46" s="266"/>
      <c r="K46" s="266"/>
      <c r="L46" s="266"/>
      <c r="M46" s="266"/>
      <c r="N46" s="266"/>
      <c r="O46" s="392"/>
      <c r="AU46" s="49"/>
      <c r="AV46" s="49"/>
    </row>
    <row r="47" spans="3:52">
      <c r="F47" s="180">
        <v>3</v>
      </c>
      <c r="G47" s="177" t="str">
        <f>IF(F47="","",VLOOKUP(F47,$C$3:$D$18,2,FALSE))</f>
        <v>Петар Костовски (12)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93"/>
      <c r="AY50" s="493"/>
      <c r="AZ50" s="493"/>
    </row>
    <row r="51" spans="3:52">
      <c r="AW51" s="75"/>
      <c r="AX51" s="493"/>
      <c r="AY51" s="493"/>
      <c r="AZ51" s="493"/>
    </row>
    <row r="52" spans="3:52">
      <c r="AW52" s="75"/>
      <c r="AX52" s="493"/>
      <c r="AY52" s="493"/>
      <c r="AZ52" s="493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topLeftCell="A19" workbookViewId="0">
      <selection activeCell="D27" sqref="D27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17" t="s">
        <v>61</v>
      </c>
      <c r="D1" s="504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Филип Младеновски (70)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Бобан Лашкоски (17)</v>
      </c>
      <c r="E4">
        <v>1</v>
      </c>
      <c r="F4" s="178">
        <v>1</v>
      </c>
      <c r="G4" s="177" t="str">
        <f>IF(F4="","",VLOOKUP(F4,$C$3:$D$18,2,FALSE))</f>
        <v>Филип Младеновски (70)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Петар Костовски (12)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Роберт Михајловски (58)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Кристијан Станојковски (10)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Мартин Калески (122)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Дамјан Стојчев (72)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Кристијан Каламадевски (347)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>Алeксандар Марковиќ (3)</v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>Зоран Димитријевски (74)</v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>Лука Стојчев (73)</v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>Андреј Васевски (203)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>Васко Манасијески (36)</v>
      </c>
      <c r="F15" s="179"/>
      <c r="Z15" s="102"/>
      <c r="AI15" s="105"/>
      <c r="AX15" s="505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>Александар Арсов (237)</v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505" t="str">
        <f>IF(AT25="","",IF(AT25&lt;AT26,AL25,AL26))</f>
        <v/>
      </c>
      <c r="AX16" s="505"/>
      <c r="AY16" s="506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>Сашко Богатинов (69)</v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505"/>
      <c r="AX17" s="505"/>
      <c r="AY17" s="506"/>
    </row>
    <row r="18" spans="1:52" ht="16.5" thickBot="1">
      <c r="B18" s="65" t="s">
        <v>57</v>
      </c>
      <c r="C18" s="65">
        <v>16</v>
      </c>
      <c r="D18" s="30" t="str">
        <f>IF(VIII!$X$3="","",VIII!$X$3)</f>
        <v>Мирослав Симиќ (55)</v>
      </c>
      <c r="F18" s="179"/>
      <c r="P18" s="102"/>
      <c r="Z18" s="102"/>
      <c r="AI18" s="106"/>
      <c r="AT18" s="34"/>
      <c r="AW18" s="505"/>
      <c r="AY18" s="506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507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20" t="s">
        <v>58</v>
      </c>
      <c r="AY20" s="507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29" t="s">
        <v>59</v>
      </c>
      <c r="AX21" s="521"/>
      <c r="AY21" s="508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30"/>
      <c r="AX22" s="521"/>
      <c r="AY22" s="526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31"/>
      <c r="AX23" s="522"/>
      <c r="AY23" s="527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94" t="s">
        <v>81</v>
      </c>
      <c r="AW27" s="495"/>
      <c r="AX27" s="495"/>
      <c r="AY27" s="495"/>
      <c r="AZ27" s="496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497" t="str">
        <f>IF(AT25="","",IF(AT25&gt;AT26,AL25,AL26))</f>
        <v/>
      </c>
      <c r="AY28" s="497"/>
      <c r="AZ28" s="497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8" t="str">
        <f>IF(AT25="","",IF(AT25&lt;AT26,AL25,AL26))</f>
        <v/>
      </c>
      <c r="AY29" s="498"/>
      <c r="AZ29" s="498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9" t="str">
        <f>IF(AT25=AT26,"",IF(AT34=AT35,AL34,IF(AT34&gt;AT35,AL34,AL35)))</f>
        <v/>
      </c>
      <c r="AY30" s="499"/>
      <c r="AZ30" s="499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9" t="str">
        <f>IF(AT25=AT26,"",IF(AT34=AT35,AL35,IF(AT34&lt;AT35,AL34,AL35)))</f>
        <v/>
      </c>
      <c r="AY31" s="499"/>
      <c r="AZ31" s="499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500" t="str">
        <f>IF(Y7="","",IF(Y7&lt;Y8,Q7,Q8))</f>
        <v/>
      </c>
      <c r="AY32" s="500"/>
      <c r="AZ32" s="500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500" t="str">
        <f>IF(Y19="","",IF(Y19&lt;Y20,Q19,Q20))</f>
        <v/>
      </c>
      <c r="AY33" s="500"/>
      <c r="AZ33" s="500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00" t="str">
        <f>IF(Y31="","",IF(Y31&lt;Y32,Q31,Q32))</f>
        <v/>
      </c>
      <c r="AY34" s="500"/>
      <c r="AZ34" s="500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500" t="str">
        <f>IF(Y43="","",IF(Y43&lt;Y44,Q43,Q44))</f>
        <v/>
      </c>
      <c r="AY35" s="500"/>
      <c r="AZ35" s="500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28" t="str">
        <f>IF(O4="","",IF(O4&lt;O5,G4,G5))</f>
        <v/>
      </c>
      <c r="AY36" s="528"/>
      <c r="AZ36" s="528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28" t="str">
        <f>IF(O10="","",IF(O10&lt;O11,G10,G11))</f>
        <v/>
      </c>
      <c r="AY37" s="528"/>
      <c r="AZ37" s="528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28" t="str">
        <f>IF(O16="","",IF(O16&lt;O17,G16,G17))</f>
        <v/>
      </c>
      <c r="AY38" s="528"/>
      <c r="AZ38" s="528"/>
    </row>
    <row r="39" spans="3:52">
      <c r="F39" s="179"/>
      <c r="Z39" s="102"/>
      <c r="AU39" s="49"/>
      <c r="AV39" s="118">
        <v>9</v>
      </c>
      <c r="AW39" s="24" t="s">
        <v>20</v>
      </c>
      <c r="AX39" s="528" t="str">
        <f>IF(O22="","",IF(O22&lt;O23,G22,G23))</f>
        <v/>
      </c>
      <c r="AY39" s="528"/>
      <c r="AZ39" s="528"/>
    </row>
    <row r="40" spans="3:52" ht="15.75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28" t="str">
        <f>IF(O28="","",IF(O28&lt;O29,G28,G29))</f>
        <v/>
      </c>
      <c r="AY40" s="528"/>
      <c r="AZ40" s="528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28" t="str">
        <f>IF(O34="","",IF(O34&lt;O35,G34,G35))</f>
        <v/>
      </c>
      <c r="AY41" s="528"/>
      <c r="AZ41" s="528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28" t="str">
        <f>IF(O40="","",IF(O40&lt;O41,G40,G41))</f>
        <v/>
      </c>
      <c r="AY42" s="528"/>
      <c r="AZ42" s="528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28" t="str">
        <f>IF(O46="","",IF(O46&lt;O47,G46,G47))</f>
        <v/>
      </c>
      <c r="AY43" s="528"/>
      <c r="AZ43" s="528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Бобан Лашкоски (17)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93"/>
      <c r="AY50" s="493"/>
      <c r="AZ50" s="493"/>
    </row>
    <row r="51" spans="6:52">
      <c r="AW51" s="75"/>
      <c r="AX51" s="493"/>
      <c r="AY51" s="493"/>
      <c r="AZ51" s="493"/>
    </row>
    <row r="52" spans="6:52">
      <c r="AW52" s="75"/>
      <c r="AX52" s="493"/>
      <c r="AY52" s="493"/>
      <c r="AZ52" s="493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17" t="s">
        <v>61</v>
      </c>
      <c r="D1" s="504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Филип Младеновски (70)</v>
      </c>
      <c r="E3" s="81" t="s">
        <v>538</v>
      </c>
      <c r="F3">
        <v>1</v>
      </c>
      <c r="G3" s="63">
        <v>1</v>
      </c>
      <c r="H3" s="95" t="str">
        <f>IF(G3="","",VLOOKUP(G3,$C$3:$F$26,2,FALSE))</f>
        <v>Филип Младеновски (70)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Бобан Лашкоски (17)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Филип Младеновски (70)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Петар Костовски (12)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Роберт Михајловски (58)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Кристијан Станојковски (10)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Мартин Калески (122)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Дамјан Стојчев (72)</v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Кристијан Каламадевски (347)</v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Алeксандар Марковиќ (3)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Зоран Димитријевски (74)</v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Лука Стојчев (73)</v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Андреј Васевски (203)</v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>Васко Манасијески (36)</v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505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>Александар Арсов (237)</v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505" t="str">
        <f>IF(BE25="","",IF(BE25&lt;BE26,AW25,AW26))</f>
        <v/>
      </c>
      <c r="BI16" s="505"/>
      <c r="BJ16" s="506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>Сашко Богатинов (69)</v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505"/>
      <c r="BI17" s="505"/>
      <c r="BJ17" s="506"/>
    </row>
    <row r="18" spans="2:63" ht="16.5" thickBot="1">
      <c r="B18" s="65" t="s">
        <v>57</v>
      </c>
      <c r="C18" s="65">
        <v>16</v>
      </c>
      <c r="D18" s="30" t="str">
        <f>IF(VIII!$X$3="","",VIII!$X$3)</f>
        <v>Мирослав Симиќ (55)</v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505"/>
      <c r="BJ18" s="506"/>
    </row>
    <row r="19" spans="2:63" ht="16.5" thickBot="1">
      <c r="B19" s="254" t="s">
        <v>35</v>
      </c>
      <c r="C19" s="238">
        <v>17</v>
      </c>
      <c r="D19" s="27" t="str">
        <f>IF(IX!$X$2="","",IX!$X$2)</f>
        <v>Ѓоко Јочкоски  (33)</v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507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>Антонио Стомнароски (458)</v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509" t="s">
        <v>58</v>
      </c>
      <c r="BJ20" s="507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>Димитрие Жоговски (126)</v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12" t="s">
        <v>59</v>
      </c>
      <c r="BI21" s="510"/>
      <c r="BJ21" s="508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>Игор Саздов (62)</v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13"/>
      <c r="BI22" s="510"/>
      <c r="BJ22" s="515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14"/>
      <c r="BI23" s="511"/>
      <c r="BJ23" s="516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Петар Костовски (12)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4" t="s">
        <v>81</v>
      </c>
      <c r="BH27" s="495"/>
      <c r="BI27" s="495"/>
      <c r="BJ27" s="495"/>
      <c r="BK27" s="496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Петар Костовски (12)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7" t="str">
        <f>IF(BE25="","",IF(BE25&gt;BE26,AW25,AW26))</f>
        <v/>
      </c>
      <c r="BJ28" s="497"/>
      <c r="BK28" s="497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8" t="str">
        <f>IF(BE25="","",IF(BE25&lt;BE26,AW25,AW26))</f>
        <v/>
      </c>
      <c r="BJ29" s="498"/>
      <c r="BK29" s="498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9" t="str">
        <f>IF(BE25=BE26,"",IF(BE34=BE35,AW34,IF(BE34&gt;BE35,AW34,AW35)))</f>
        <v/>
      </c>
      <c r="BJ30" s="499"/>
      <c r="BK30" s="499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9" t="str">
        <f>IF(BE25=BE26,"",IF(BE34=BE35,AW35,IF(BE34&lt;BE35,AW34,AW35)))</f>
        <v/>
      </c>
      <c r="BJ31" s="499"/>
      <c r="BK31" s="499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00" t="str">
        <f>IF(AJ7="","",IF(AJ7&lt;AJ8,AB7,AB8))</f>
        <v/>
      </c>
      <c r="BJ32" s="500"/>
      <c r="BK32" s="500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00" t="str">
        <f>IF(AJ19="","",IF(AJ19&lt;AJ20,AB19,AB20))</f>
        <v/>
      </c>
      <c r="BJ33" s="500"/>
      <c r="BK33" s="500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00" t="str">
        <f>IF(AJ31="","",IF(AJ31&lt;AJ32,AB31,AB32))</f>
        <v/>
      </c>
      <c r="BJ34" s="500"/>
      <c r="BK34" s="500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00" t="str">
        <f>IF(AJ43="","",IF(AJ43&lt;AJ44,AB43,AB44))</f>
        <v/>
      </c>
      <c r="BJ35" s="500"/>
      <c r="BK35" s="500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8" t="str">
        <f>IF(Z4="","",IF(Z4&lt;Z5,R4,R5))</f>
        <v/>
      </c>
      <c r="BJ36" s="528"/>
      <c r="BK36" s="528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8" t="str">
        <f>IF(Z10="","",IF(Z10&lt;Z11,R10,R11))</f>
        <v/>
      </c>
      <c r="BJ37" s="528"/>
      <c r="BK37" s="528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8" t="str">
        <f>IF(Z16="","",IF(Z16&lt;Z17,R16,R17))</f>
        <v/>
      </c>
      <c r="BJ38" s="528"/>
      <c r="BK38" s="528"/>
    </row>
    <row r="39" spans="3:63" ht="15.75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8" t="str">
        <f>IF(Z22="","",IF(Z22&lt;Z23,R22,R23))</f>
        <v/>
      </c>
      <c r="BJ39" s="528"/>
      <c r="BK39" s="528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8" t="str">
        <f>IF(Z28="","",IF(Z28&lt;Z29,R28,R29))</f>
        <v/>
      </c>
      <c r="BJ40" s="528"/>
      <c r="BK40" s="528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8" t="str">
        <f>IF(Z34="","",IF(Z34&lt;Z35,R34,R35))</f>
        <v/>
      </c>
      <c r="BJ41" s="528"/>
      <c r="BK41" s="528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8" t="str">
        <f>IF(Z40="","",IF(Z40&lt;Z41,R40,R41))</f>
        <v/>
      </c>
      <c r="BJ42" s="528"/>
      <c r="BK42" s="528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8" t="str">
        <f>IF(Z46="","",IF(Z46&lt;Z47,R46,R47))</f>
        <v/>
      </c>
      <c r="BJ43" s="528"/>
      <c r="BK43" s="528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3"/>
      <c r="BJ50" s="493"/>
      <c r="BK50" s="493"/>
    </row>
    <row r="51" spans="5:63">
      <c r="H51"/>
      <c r="I51"/>
      <c r="J51"/>
      <c r="K51"/>
      <c r="L51"/>
      <c r="M51"/>
      <c r="N51"/>
      <c r="O51"/>
      <c r="P51"/>
      <c r="BH51" s="75"/>
      <c r="BI51" s="493"/>
      <c r="BJ51" s="493"/>
      <c r="BK51" s="493"/>
    </row>
    <row r="52" spans="5:63">
      <c r="H52"/>
      <c r="I52"/>
      <c r="J52"/>
      <c r="K52"/>
      <c r="L52"/>
      <c r="M52"/>
      <c r="N52"/>
      <c r="O52"/>
      <c r="P52"/>
      <c r="BH52" s="75"/>
      <c r="BI52" s="493"/>
      <c r="BJ52" s="493"/>
      <c r="BK52" s="493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17" t="s">
        <v>61</v>
      </c>
      <c r="D1" s="504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Филип Младеновски (70)</v>
      </c>
      <c r="E3" s="359" t="s">
        <v>532</v>
      </c>
      <c r="F3">
        <v>1</v>
      </c>
      <c r="G3" s="63">
        <v>1</v>
      </c>
      <c r="H3" s="95" t="str">
        <f>IF(G3="","",VLOOKUP(G3,$C$3:$E$26,2,FALSE))</f>
        <v>Филип Младеновски (70)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Бобан Лашкоски (17)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Филип Младеновски (70)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Петар Костовски (12)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Роберт Михајловски (58)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Кристијан Станојковски (10)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Мартин Калески (122)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Дамјан Стојчев (72)</v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Кристијан Каламадевски (347)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Алeксандар Марковиќ (3)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Зоран Димитријевски (74)</v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Лука Стојчев (73)</v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Андреј Васевски (203)</v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>Васко Манасијески (36)</v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505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>Александар Арсов (237)</v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505" t="str">
        <f>IF(BE25="","",IF(BE25&lt;BE26,AW25,AW26))</f>
        <v/>
      </c>
      <c r="BI16" s="505"/>
      <c r="BJ16" s="506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>Сашко Богатинов (69)</v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505"/>
      <c r="BI17" s="505"/>
      <c r="BJ17" s="506"/>
    </row>
    <row r="18" spans="2:63" ht="16.5" thickBot="1">
      <c r="B18" s="65" t="s">
        <v>57</v>
      </c>
      <c r="C18" s="65">
        <v>16</v>
      </c>
      <c r="D18" s="30" t="str">
        <f>IF(VIII!$X$3="","",VIII!$X$3)</f>
        <v>Мирослав Симиќ (55)</v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505"/>
      <c r="BJ18" s="506"/>
    </row>
    <row r="19" spans="2:63" ht="16.5" thickBot="1">
      <c r="B19" s="254" t="s">
        <v>35</v>
      </c>
      <c r="C19" s="238">
        <v>17</v>
      </c>
      <c r="D19" s="27" t="str">
        <f>IF(IX!$X$2="","",IX!$X$2)</f>
        <v>Ѓоко Јочкоски  (33)</v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507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>Антонио Стомнароски (458)</v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509" t="s">
        <v>58</v>
      </c>
      <c r="BJ20" s="507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>Димитрие Жоговски (126)</v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12" t="s">
        <v>59</v>
      </c>
      <c r="BI21" s="510"/>
      <c r="BJ21" s="508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>Игор Саздов (62)</v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13"/>
      <c r="BI22" s="510"/>
      <c r="BJ22" s="515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>Христијан Јовановски  (2)</v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14"/>
      <c r="BI23" s="511"/>
      <c r="BJ23" s="516"/>
    </row>
    <row r="24" spans="2:63" ht="16.5" thickBot="1">
      <c r="B24" s="240" t="s">
        <v>46</v>
      </c>
      <c r="C24" s="240">
        <v>22</v>
      </c>
      <c r="D24" s="237" t="str">
        <f>IF(XI!$X$3="","",XI!$X$3)</f>
        <v>Томе Милев (131)</v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>Слободан Грковски (54)</v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>Даниел Главевски Зхоу  (108)</v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>Петар Костовски (12)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4" t="s">
        <v>81</v>
      </c>
      <c r="BH27" s="495"/>
      <c r="BI27" s="495"/>
      <c r="BJ27" s="495"/>
      <c r="BK27" s="496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Петар Костовски (12)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7" t="str">
        <f>IF(BE25="","",IF(BE25&gt;BE26,AW25,AW26))</f>
        <v/>
      </c>
      <c r="BJ28" s="497"/>
      <c r="BK28" s="497"/>
    </row>
    <row r="29" spans="2:63" s="42" customFormat="1" ht="15.75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8" t="str">
        <f>IF(BE25="","",IF(BE25&lt;BE26,AW25,AW26))</f>
        <v/>
      </c>
      <c r="BJ29" s="498"/>
      <c r="BK29" s="498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9" t="str">
        <f>IF(BE25=BE26,"",IF(BE34=BE35,AW34,IF(BE34&gt;BE35,AW34,AW35)))</f>
        <v/>
      </c>
      <c r="BJ30" s="499"/>
      <c r="BK30" s="499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9" t="str">
        <f>IF(BE25=BE26,"",IF(BE34=BE35,AW35,IF(BE34&lt;BE35,AW34,AW35)))</f>
        <v/>
      </c>
      <c r="BJ31" s="499"/>
      <c r="BK31" s="499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00" t="str">
        <f>IF(AJ7="","",IF(AJ7&lt;AJ8,AB7,AB8))</f>
        <v/>
      </c>
      <c r="BJ32" s="500"/>
      <c r="BK32" s="500"/>
    </row>
    <row r="33" spans="3:63" s="42" customFormat="1" ht="15.75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00" t="str">
        <f>IF(AJ19="","",IF(AJ19&lt;AJ20,AB19,AB20))</f>
        <v/>
      </c>
      <c r="BJ33" s="500"/>
      <c r="BK33" s="500"/>
    </row>
    <row r="34" spans="3:63" ht="15.75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00" t="str">
        <f>IF(AJ31="","",IF(AJ31&lt;AJ32,AB31,AB32))</f>
        <v/>
      </c>
      <c r="BJ34" s="500"/>
      <c r="BK34" s="500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00" t="str">
        <f>IF(AJ43="","",IF(AJ43&lt;AJ44,AB43,AB44))</f>
        <v/>
      </c>
      <c r="BJ35" s="500"/>
      <c r="BK35" s="500"/>
    </row>
    <row r="36" spans="3:63" ht="15.75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8" t="str">
        <f>IF(Z4="","",IF(Z4&lt;Z5,R4,R5))</f>
        <v/>
      </c>
      <c r="BJ36" s="528"/>
      <c r="BK36" s="528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8" t="str">
        <f>IF(Z10="","",IF(Z10&lt;Z11,R10,R11))</f>
        <v/>
      </c>
      <c r="BJ37" s="528"/>
      <c r="BK37" s="528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8" t="str">
        <f>IF(Z16="","",IF(Z16&lt;Z17,R16,R17))</f>
        <v/>
      </c>
      <c r="BJ38" s="528"/>
      <c r="BK38" s="528"/>
    </row>
    <row r="39" spans="3:63" ht="15.75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8" t="str">
        <f>IF(Z22="","",IF(Z22&lt;Z23,R22,R23))</f>
        <v/>
      </c>
      <c r="BJ39" s="528"/>
      <c r="BK39" s="528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8" t="str">
        <f>IF(Z28="","",IF(Z28&lt;Z29,R28,R29))</f>
        <v/>
      </c>
      <c r="BJ40" s="528"/>
      <c r="BK40" s="528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8" t="str">
        <f>IF(Z34="","",IF(Z34&lt;Z35,R34,R35))</f>
        <v/>
      </c>
      <c r="BJ41" s="528"/>
      <c r="BK41" s="528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8" t="str">
        <f>IF(Z40="","",IF(Z40&lt;Z41,R40,R41))</f>
        <v/>
      </c>
      <c r="BJ42" s="528"/>
      <c r="BK42" s="528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8" t="str">
        <f>IF(Z46="","",IF(Z46&lt;Z47,R46,R47))</f>
        <v/>
      </c>
      <c r="BJ43" s="528"/>
      <c r="BK43" s="528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3"/>
      <c r="BJ50" s="493"/>
      <c r="BK50" s="493"/>
    </row>
    <row r="51" spans="5:63">
      <c r="H51"/>
      <c r="I51"/>
      <c r="J51"/>
      <c r="K51"/>
      <c r="L51"/>
      <c r="M51"/>
      <c r="N51"/>
      <c r="O51"/>
      <c r="P51"/>
      <c r="BH51" s="75"/>
      <c r="BI51" s="493"/>
      <c r="BJ51" s="493"/>
      <c r="BK51" s="493"/>
    </row>
    <row r="52" spans="5:63">
      <c r="H52"/>
      <c r="I52"/>
      <c r="J52"/>
      <c r="K52"/>
      <c r="L52"/>
      <c r="M52"/>
      <c r="N52"/>
      <c r="O52"/>
      <c r="P52"/>
      <c r="BH52" s="75"/>
      <c r="BI52" s="493"/>
      <c r="BJ52" s="493"/>
      <c r="BK52" s="493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tabSelected="1" topLeftCell="AI22" zoomScalePageLayoutView="80" workbookViewId="0">
      <selection activeCell="AW29" sqref="AW29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6" max="16" width="9" style="415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17" t="s">
        <v>61</v>
      </c>
      <c r="D1" s="504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414"/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Филип Младеновски (70)</v>
      </c>
      <c r="E3" s="359" t="s">
        <v>610</v>
      </c>
      <c r="F3" s="199">
        <v>1</v>
      </c>
      <c r="G3" s="20" t="str">
        <f>IF(F3="","",VLOOKUP(F3,$C$3:$E$44,2,FALSE))</f>
        <v>Филип Младеновски (70)</v>
      </c>
      <c r="H3" s="18">
        <v>10</v>
      </c>
      <c r="I3" s="18">
        <v>11</v>
      </c>
      <c r="J3" s="18">
        <v>11</v>
      </c>
      <c r="K3" s="18">
        <v>11</v>
      </c>
      <c r="L3" s="18"/>
      <c r="M3" s="18"/>
      <c r="N3" s="18"/>
      <c r="O3" s="19">
        <f>IF(H3="","",SUMPRODUCT(--(H3:N3&gt;H4:N4)))</f>
        <v>3</v>
      </c>
      <c r="P3" s="415">
        <v>1</v>
      </c>
    </row>
    <row r="4" spans="2:60" ht="16.5" thickBot="1">
      <c r="B4" s="65" t="s">
        <v>55</v>
      </c>
      <c r="C4" s="65">
        <v>2</v>
      </c>
      <c r="D4" s="26" t="str">
        <f>IF(' I'!$X$3="","",' I'!$X$3)</f>
        <v>Бобан Лашкоски (17)</v>
      </c>
      <c r="F4" s="199">
        <v>10</v>
      </c>
      <c r="G4" s="20" t="str">
        <f>IF(F4="","",VLOOKUP(F4,$C$3:$E$44,2,FALSE))</f>
        <v>Зоран Димитријевски (74)</v>
      </c>
      <c r="H4" s="18">
        <v>12</v>
      </c>
      <c r="I4" s="18">
        <v>7</v>
      </c>
      <c r="J4" s="18">
        <v>5</v>
      </c>
      <c r="K4" s="18">
        <v>4</v>
      </c>
      <c r="L4" s="18"/>
      <c r="M4" s="18"/>
      <c r="N4" s="18"/>
      <c r="O4" s="19">
        <f>IF(H4="","",SUMPRODUCT(--(H4:N4&gt;H3:N3)))</f>
        <v>1</v>
      </c>
      <c r="P4" s="415">
        <v>2</v>
      </c>
    </row>
    <row r="5" spans="2:60">
      <c r="B5" s="63" t="s">
        <v>27</v>
      </c>
      <c r="C5" s="63">
        <v>3</v>
      </c>
      <c r="D5" s="29" t="str">
        <f>IF(' II'!$X$2="","",' II'!$X$2)</f>
        <v>Петар Костовски (12)</v>
      </c>
      <c r="G5" s="39"/>
      <c r="H5" s="40"/>
      <c r="I5" s="40"/>
      <c r="J5" s="40"/>
      <c r="K5" s="40"/>
      <c r="L5" s="40"/>
      <c r="M5" s="40"/>
      <c r="N5" s="40"/>
      <c r="O5" s="41"/>
      <c r="P5" s="416"/>
      <c r="Q5" s="59" t="str">
        <f>IF(O3="","",IF(O3&gt;O4,G3,G4))</f>
        <v>Филип Младеновски (70)</v>
      </c>
      <c r="R5" s="46">
        <v>9</v>
      </c>
      <c r="S5" s="46">
        <v>11</v>
      </c>
      <c r="T5" s="46">
        <v>12</v>
      </c>
      <c r="U5" s="46">
        <v>8</v>
      </c>
      <c r="V5" s="46">
        <v>9</v>
      </c>
      <c r="W5" s="46"/>
      <c r="X5" s="46"/>
      <c r="Y5" s="19">
        <f>IF(R5="","",SUMPRODUCT(--(R5:X5&gt;R6:X6)))</f>
        <v>2</v>
      </c>
    </row>
    <row r="6" spans="2:60" ht="16.5" thickBot="1">
      <c r="B6" s="65" t="s">
        <v>54</v>
      </c>
      <c r="C6" s="65">
        <v>4</v>
      </c>
      <c r="D6" s="30" t="str">
        <f>IF(' II'!$X$3="","",' II'!$X$3)</f>
        <v>Роберт Михајловски (58)</v>
      </c>
      <c r="P6" s="417"/>
      <c r="Q6" s="59" t="str">
        <f>IF(O7="","",IF(O7&gt;O8,G7,G8))</f>
        <v>Александар Јакимовски (178)</v>
      </c>
      <c r="R6" s="46">
        <v>11</v>
      </c>
      <c r="S6" s="46">
        <v>2</v>
      </c>
      <c r="T6" s="46">
        <v>10</v>
      </c>
      <c r="U6" s="46">
        <v>11</v>
      </c>
      <c r="V6" s="46">
        <v>11</v>
      </c>
      <c r="W6" s="46"/>
      <c r="X6" s="46"/>
      <c r="Y6" s="19">
        <f>IF(R6="","",SUMPRODUCT(--(R6:X6&gt;R5:X5)))</f>
        <v>3</v>
      </c>
    </row>
    <row r="7" spans="2:60">
      <c r="B7" s="63" t="s">
        <v>29</v>
      </c>
      <c r="C7" s="63">
        <v>5</v>
      </c>
      <c r="D7" s="25" t="str">
        <f>IF(' III'!$X$2="","",' III'!$X$2)</f>
        <v>Кристијан Станојковски (10)</v>
      </c>
      <c r="F7" s="199">
        <v>6</v>
      </c>
      <c r="G7" s="207" t="str">
        <f>IF(F7="","",VLOOKUP(F7,$C$3:$E$44,2,FALSE))</f>
        <v>Мартин Калески (122)</v>
      </c>
      <c r="H7" s="18">
        <v>6</v>
      </c>
      <c r="I7" s="18">
        <v>6</v>
      </c>
      <c r="J7" s="18">
        <v>9</v>
      </c>
      <c r="K7" s="18"/>
      <c r="L7" s="18"/>
      <c r="M7" s="18"/>
      <c r="N7" s="18"/>
      <c r="O7" s="19">
        <f>IF(H7="","",SUMPRODUCT(--(H7:N7&gt;H8:N8)))</f>
        <v>0</v>
      </c>
      <c r="P7" s="415">
        <v>3</v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Мартин Калески (122)</v>
      </c>
      <c r="E8" s="359" t="s">
        <v>611</v>
      </c>
      <c r="F8" s="196">
        <v>31</v>
      </c>
      <c r="G8" s="207" t="str">
        <f>IF(F8="","",VLOOKUP(F8,$C$3:$E$44,2,FALSE))</f>
        <v>Александар Јакимовски (178)</v>
      </c>
      <c r="H8" s="18">
        <v>11</v>
      </c>
      <c r="I8" s="18">
        <v>11</v>
      </c>
      <c r="J8" s="18">
        <v>11</v>
      </c>
      <c r="K8" s="18"/>
      <c r="L8" s="18"/>
      <c r="M8" s="18"/>
      <c r="N8" s="18"/>
      <c r="O8" s="19">
        <f>IF(H8="","",SUMPRODUCT(--(H8:N8&gt;H7:N7)))</f>
        <v>3</v>
      </c>
      <c r="P8" s="415">
        <v>4</v>
      </c>
      <c r="Z8" s="52"/>
    </row>
    <row r="9" spans="2:60">
      <c r="B9" s="63" t="s">
        <v>30</v>
      </c>
      <c r="C9" s="63">
        <v>7</v>
      </c>
      <c r="D9" s="29" t="str">
        <f>IF(IV!$X$2="","",IV!$X$2)</f>
        <v>Дамјан Стојчев (72)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IF(Y13="","",IF(Y13&gt;Y14,Q13,Q14))</f>
        <v>Ѓоко Јочкоски  (33)</v>
      </c>
      <c r="AB9" s="46">
        <v>7</v>
      </c>
      <c r="AC9" s="46">
        <v>11</v>
      </c>
      <c r="AD9" s="46">
        <v>7</v>
      </c>
      <c r="AE9" s="46">
        <v>9</v>
      </c>
      <c r="AF9" s="46">
        <v>11</v>
      </c>
      <c r="AG9" s="46">
        <v>11</v>
      </c>
      <c r="AH9" s="46">
        <v>11</v>
      </c>
      <c r="AI9" s="19">
        <f>IF(AB9="","",SUMPRODUCT(--(AB9:AH9&gt;AB10:AH10)))</f>
        <v>4</v>
      </c>
    </row>
    <row r="10" spans="2:60" ht="16.5" thickBot="1">
      <c r="B10" s="65" t="s">
        <v>52</v>
      </c>
      <c r="C10" s="65">
        <v>8</v>
      </c>
      <c r="D10" s="30" t="str">
        <f>IF(IV!$X$3="","",IV!$X$3)</f>
        <v>Кристијан Каламадевски (347)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IF(Y6="","",IF(Y6&gt;Y7,Q6,Q7))</f>
        <v>Александар Јакимовски (178)</v>
      </c>
      <c r="AB10" s="46">
        <v>11</v>
      </c>
      <c r="AC10" s="46">
        <v>7</v>
      </c>
      <c r="AD10" s="46">
        <v>11</v>
      </c>
      <c r="AE10" s="46">
        <v>11</v>
      </c>
      <c r="AF10" s="46">
        <v>9</v>
      </c>
      <c r="AG10" s="46">
        <v>5</v>
      </c>
      <c r="AH10" s="46">
        <v>8</v>
      </c>
      <c r="AI10" s="19">
        <f>IF(AB10="","",SUMPRODUCT(--(AB10:AH10&gt;AB9:AH9)))</f>
        <v>3</v>
      </c>
    </row>
    <row r="11" spans="2:60">
      <c r="B11" s="63" t="s">
        <v>31</v>
      </c>
      <c r="C11" s="63">
        <v>9</v>
      </c>
      <c r="D11" s="25" t="str">
        <f>IF(V!$X$2="","",V!$X$2)</f>
        <v>Алeксандар Марковиќ (3)</v>
      </c>
      <c r="E11" s="359" t="s">
        <v>612</v>
      </c>
      <c r="F11" s="199">
        <v>17</v>
      </c>
      <c r="G11" s="207" t="str">
        <f>IF(F11="","",VLOOKUP(F11,$C$3:$E$44,2,FALSE))</f>
        <v>Ѓоко Јочкоски  (33)</v>
      </c>
      <c r="H11" s="18">
        <v>11</v>
      </c>
      <c r="I11" s="18">
        <v>11</v>
      </c>
      <c r="J11" s="18">
        <v>11</v>
      </c>
      <c r="K11" s="18"/>
      <c r="L11" s="18"/>
      <c r="M11" s="18"/>
      <c r="N11" s="18"/>
      <c r="O11" s="19">
        <f>IF(H11="","",SUMPRODUCT(--(H11:N11&gt;H12:N12)))</f>
        <v>3</v>
      </c>
      <c r="P11" s="415">
        <v>5</v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>Зоран Димитријевски (74)</v>
      </c>
      <c r="F12" s="196">
        <v>16</v>
      </c>
      <c r="G12" s="207" t="str">
        <f>IF(F12="","",VLOOKUP(F12,$C$3:$E$44,2,FALSE))</f>
        <v>Мирослав Симиќ (55)</v>
      </c>
      <c r="H12" s="18">
        <v>3</v>
      </c>
      <c r="I12" s="18">
        <v>3</v>
      </c>
      <c r="J12" s="18">
        <v>6</v>
      </c>
      <c r="K12" s="18"/>
      <c r="L12" s="18"/>
      <c r="M12" s="18"/>
      <c r="N12" s="18"/>
      <c r="O12" s="19">
        <f>IF(H12="","",SUMPRODUCT(--(H12:N12&gt;H11:N11)))</f>
        <v>0</v>
      </c>
      <c r="P12" s="415">
        <v>6</v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>Лука Стојчев (73)</v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416"/>
      <c r="Q13" s="59" t="str">
        <f>IF(O11="","",IF(O11&gt;O12,G11,G12))</f>
        <v>Ѓоко Јочкоски  (33)</v>
      </c>
      <c r="R13" s="47">
        <v>11</v>
      </c>
      <c r="S13" s="47">
        <v>11</v>
      </c>
      <c r="T13" s="47">
        <v>7</v>
      </c>
      <c r="U13" s="47">
        <v>12</v>
      </c>
      <c r="V13" s="47"/>
      <c r="W13" s="47"/>
      <c r="X13" s="47"/>
      <c r="Y13" s="19">
        <f>IF(R13="","",SUMPRODUCT(--(R13:X13&gt;R14:X14)))</f>
        <v>3</v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>Андреј Васевски (203)</v>
      </c>
      <c r="P14" s="417"/>
      <c r="Q14" s="59" t="str">
        <f>IF(O15="","",IF(O15&gt;O16,G15,G16))</f>
        <v>Лука Стојчев (73)</v>
      </c>
      <c r="R14" s="46">
        <v>6</v>
      </c>
      <c r="S14" s="46">
        <v>5</v>
      </c>
      <c r="T14" s="46">
        <v>11</v>
      </c>
      <c r="U14" s="46">
        <v>10</v>
      </c>
      <c r="V14" s="46"/>
      <c r="W14" s="46"/>
      <c r="X14" s="46"/>
      <c r="Y14" s="19">
        <v>1</v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>Васко Манасијески (36)</v>
      </c>
      <c r="F15" s="200">
        <v>4</v>
      </c>
      <c r="G15" s="20" t="str">
        <f>IF(F15="","",VLOOKUP(F15,$C$3:$E$44,2,FALSE))</f>
        <v>Роберт Михајловски (58)</v>
      </c>
      <c r="H15" s="18">
        <v>11</v>
      </c>
      <c r="I15" s="18">
        <v>1</v>
      </c>
      <c r="J15" s="18">
        <v>5</v>
      </c>
      <c r="K15" s="18">
        <v>6</v>
      </c>
      <c r="L15" s="18"/>
      <c r="M15" s="18"/>
      <c r="N15" s="18"/>
      <c r="O15" s="19">
        <f>IF(H15="","",SUMPRODUCT(--(H15:N15&gt;H16:N16)))</f>
        <v>1</v>
      </c>
      <c r="P15" s="415">
        <v>7</v>
      </c>
      <c r="AJ15" s="52"/>
      <c r="BG15" s="505" t="str">
        <f>IF(BD33="","",IF(BD33&gt;BD34,AV33,AV34))</f>
        <v>Кристијан Станојковски (10)</v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>Александар Арсов (237)</v>
      </c>
      <c r="E16" s="359" t="s">
        <v>613</v>
      </c>
      <c r="F16" s="196">
        <v>11</v>
      </c>
      <c r="G16" s="20" t="str">
        <f>IF(F16="","",VLOOKUP(F16,$C$3:$E$44,2,FALSE))</f>
        <v>Лука Стојчев (73)</v>
      </c>
      <c r="H16" s="18">
        <v>9</v>
      </c>
      <c r="I16" s="18">
        <v>11</v>
      </c>
      <c r="J16" s="18">
        <v>11</v>
      </c>
      <c r="K16" s="18">
        <v>11</v>
      </c>
      <c r="L16" s="18"/>
      <c r="M16" s="18"/>
      <c r="N16" s="18"/>
      <c r="O16" s="19">
        <f>IF(H16="","",SUMPRODUCT(--(H16:N16&gt;H15:N15)))</f>
        <v>3</v>
      </c>
      <c r="P16" s="415">
        <v>8</v>
      </c>
      <c r="AJ16" s="52"/>
      <c r="BF16" s="505" t="str">
        <f>IF(BD33=BD34,"",IF(BD33="","",IF(BD33&lt;BD34,AV33,AV34)))</f>
        <v>Ѓоко Јочкоски  (33)</v>
      </c>
      <c r="BG16" s="505"/>
      <c r="BH16" s="506" t="str">
        <f>IF(BD33=BD34,"",IF(BD41=BD42,AV41,IF(BD41&gt;BD42,AV41,AV42)))</f>
        <v>Васко Манасијески (36)</v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>Сашко Богатинов (69)</v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P17" s="418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>Ѓоко Јочкоски  (33)</v>
      </c>
      <c r="AL17" s="47">
        <v>5</v>
      </c>
      <c r="AM17" s="47">
        <v>11</v>
      </c>
      <c r="AN17" s="47">
        <v>7</v>
      </c>
      <c r="AO17" s="47">
        <v>13</v>
      </c>
      <c r="AP17" s="47">
        <v>11</v>
      </c>
      <c r="AQ17" s="47">
        <v>11</v>
      </c>
      <c r="AR17" s="47"/>
      <c r="AS17" s="19">
        <f>IF(AL17="","",SUMPRODUCT(--(AL17:AR17&gt;AL18:AR18)))</f>
        <v>4</v>
      </c>
      <c r="BF17" s="505"/>
      <c r="BG17" s="505"/>
      <c r="BH17" s="506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>Мирослав Симиќ (55)</v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>Васко Манасијески (36)</v>
      </c>
      <c r="AL18" s="46">
        <v>11</v>
      </c>
      <c r="AM18" s="46">
        <v>3</v>
      </c>
      <c r="AN18" s="46">
        <v>11</v>
      </c>
      <c r="AO18" s="46">
        <v>11</v>
      </c>
      <c r="AP18" s="46">
        <v>4</v>
      </c>
      <c r="AQ18" s="46">
        <v>8</v>
      </c>
      <c r="AR18" s="46"/>
      <c r="AS18" s="19">
        <f>IF(AL18="","",SUMPRODUCT(--(AL18:AR18&gt;AL17:AR17)))</f>
        <v>2</v>
      </c>
      <c r="BF18" s="505"/>
      <c r="BH18" s="506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>Ѓоко Јочкоски  (33)</v>
      </c>
      <c r="E19" s="359" t="s">
        <v>613</v>
      </c>
      <c r="F19" s="200">
        <v>13</v>
      </c>
      <c r="G19" s="20" t="str">
        <f>IF(F19="","",VLOOKUP(F19,$C$3:$E$44,2,FALSE))</f>
        <v>Васко Манасијески (36)</v>
      </c>
      <c r="H19" s="18">
        <v>11</v>
      </c>
      <c r="I19" s="18">
        <v>11</v>
      </c>
      <c r="J19" s="18">
        <v>11</v>
      </c>
      <c r="K19" s="18"/>
      <c r="L19" s="18"/>
      <c r="M19" s="18"/>
      <c r="N19" s="18"/>
      <c r="O19" s="19">
        <f>IF(H19="","",SUMPRODUCT(--(H19:N19&gt;H20:N20)))</f>
        <v>3</v>
      </c>
      <c r="P19" s="415">
        <v>9</v>
      </c>
      <c r="AJ19" s="52"/>
      <c r="AT19" s="52"/>
      <c r="AU19" s="48"/>
      <c r="BH19" s="507" t="str">
        <f>IF(BD33=BD34,"",IF(OR(BD41&gt;BD42,BD41&lt;BD42),"",AV42))</f>
        <v>Петар Костовски (12)</v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>Антонио Стомнароски (458)</v>
      </c>
      <c r="F20" s="196">
        <v>28</v>
      </c>
      <c r="G20" s="20" t="str">
        <f>IF(F20="","",VLOOKUP(F20,$C$3:$E$44,2,FALSE))</f>
        <v>Марјан Крстев (52)</v>
      </c>
      <c r="H20" s="18">
        <v>3</v>
      </c>
      <c r="I20" s="18">
        <v>4</v>
      </c>
      <c r="J20" s="18">
        <v>8</v>
      </c>
      <c r="K20" s="18"/>
      <c r="L20" s="18"/>
      <c r="M20" s="18"/>
      <c r="N20" s="18"/>
      <c r="O20" s="19">
        <f>IF(H20="","",SUMPRODUCT(--(H20:N20&gt;H19:N19)))</f>
        <v>0</v>
      </c>
      <c r="P20" s="415">
        <v>10</v>
      </c>
      <c r="AJ20" s="52"/>
      <c r="AT20" s="52"/>
      <c r="AU20" s="48"/>
      <c r="BG20" s="509" t="s">
        <v>58</v>
      </c>
      <c r="BH20" s="507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>Димитрие Жоговски (126)</v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416"/>
      <c r="Q21" s="59" t="str">
        <f>IF(O19="","",IF(O19&gt;O20,G19,G20))</f>
        <v>Васко Манасијески (36)</v>
      </c>
      <c r="R21" s="47">
        <v>12</v>
      </c>
      <c r="S21" s="47">
        <v>11</v>
      </c>
      <c r="T21" s="47">
        <v>11</v>
      </c>
      <c r="U21" s="47"/>
      <c r="V21" s="47"/>
      <c r="W21" s="47"/>
      <c r="X21" s="47"/>
      <c r="Y21" s="19">
        <f>IF(R21="","",SUMPRODUCT(--(R21:X21&gt;R22:X22)))</f>
        <v>3</v>
      </c>
      <c r="AJ21" s="53"/>
      <c r="AT21" s="53"/>
      <c r="AU21" s="49"/>
      <c r="BF21" s="62"/>
      <c r="BG21" s="510"/>
      <c r="BH21" s="508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>Игор Саздов (62)</v>
      </c>
      <c r="P22" s="417"/>
      <c r="Q22" s="59" t="str">
        <f>IF(O23="","",IF(O23&gt;O24,G23,G24))</f>
        <v>Христијан Јовановски  (2)</v>
      </c>
      <c r="R22" s="46">
        <v>10</v>
      </c>
      <c r="S22" s="46">
        <v>5</v>
      </c>
      <c r="T22" s="46">
        <v>9</v>
      </c>
      <c r="U22" s="46"/>
      <c r="V22" s="46"/>
      <c r="W22" s="46"/>
      <c r="X22" s="46"/>
      <c r="Y22" s="19">
        <f>IF(R22="","",SUMPRODUCT(--(R22:X22&gt;R21:X21)))</f>
        <v>0</v>
      </c>
      <c r="AJ22" s="52"/>
      <c r="AT22" s="52"/>
      <c r="AU22" s="48"/>
      <c r="BF22" s="533" t="s">
        <v>59</v>
      </c>
      <c r="BG22" s="510"/>
      <c r="BH22" s="515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>Христијан Јовановски  (2)</v>
      </c>
      <c r="F23" s="200">
        <v>20</v>
      </c>
      <c r="G23" s="20" t="str">
        <f>IF(F23="","",VLOOKUP(F23,$C$3:$E$44,2,FALSE))</f>
        <v>Игор Саздов (62)</v>
      </c>
      <c r="H23" s="18">
        <v>5</v>
      </c>
      <c r="I23" s="18">
        <v>3</v>
      </c>
      <c r="J23" s="18">
        <v>12</v>
      </c>
      <c r="K23" s="18">
        <v>13</v>
      </c>
      <c r="L23" s="18">
        <v>8</v>
      </c>
      <c r="M23" s="18"/>
      <c r="N23" s="18"/>
      <c r="O23" s="19">
        <f>IF(H23="","",SUMPRODUCT(--(H23:N23&gt;H24:N24)))</f>
        <v>2</v>
      </c>
      <c r="P23" s="415">
        <v>11</v>
      </c>
      <c r="Z23" s="52"/>
      <c r="AJ23" s="52"/>
      <c r="AT23" s="52"/>
      <c r="AU23" s="48"/>
      <c r="BF23" s="534"/>
      <c r="BG23" s="511"/>
      <c r="BH23" s="516"/>
    </row>
    <row r="24" spans="2:60" ht="16.5" thickBot="1">
      <c r="B24" s="65" t="s">
        <v>46</v>
      </c>
      <c r="C24" s="65">
        <v>22</v>
      </c>
      <c r="D24" s="237" t="str">
        <f>IF(XI!$X$3="","",XI!$X$3)</f>
        <v>Томе Милев (131)</v>
      </c>
      <c r="E24" s="359" t="s">
        <v>612</v>
      </c>
      <c r="F24" s="196">
        <v>21</v>
      </c>
      <c r="G24" s="20" t="str">
        <f>IF(F24="","",VLOOKUP(F24,$C$3:$E$44,2,FALSE))</f>
        <v>Христијан Јовановски  (2)</v>
      </c>
      <c r="H24" s="18">
        <v>11</v>
      </c>
      <c r="I24" s="18">
        <v>11</v>
      </c>
      <c r="J24" s="18">
        <v>10</v>
      </c>
      <c r="K24" s="18">
        <v>11</v>
      </c>
      <c r="L24" s="18">
        <v>11</v>
      </c>
      <c r="M24" s="18"/>
      <c r="N24" s="18"/>
      <c r="O24" s="19">
        <f>IF(H24="","",SUMPRODUCT(--(H24:N24&gt;H23:N23)))</f>
        <v>3</v>
      </c>
      <c r="P24" s="415">
        <v>12</v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>Слободан Грковски (54)</v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P25" s="418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>Васко Манасијески (36)</v>
      </c>
      <c r="AB25" s="47">
        <v>4</v>
      </c>
      <c r="AC25" s="47">
        <v>11</v>
      </c>
      <c r="AD25" s="47">
        <v>11</v>
      </c>
      <c r="AE25" s="47">
        <v>11</v>
      </c>
      <c r="AF25" s="47">
        <v>7</v>
      </c>
      <c r="AG25" s="47">
        <v>11</v>
      </c>
      <c r="AH25" s="47"/>
      <c r="AI25" s="19">
        <f>IF(AB25="","",SUMPRODUCT(--(AB25:AH25&gt;AB26:AH26)))</f>
        <v>4</v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>Даниел Главевски Зхоу  (108)</v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>Сашо Љамов (127)</v>
      </c>
      <c r="AB26" s="46">
        <v>11</v>
      </c>
      <c r="AC26" s="46">
        <v>8</v>
      </c>
      <c r="AD26" s="46">
        <v>6</v>
      </c>
      <c r="AE26" s="46">
        <v>8</v>
      </c>
      <c r="AF26" s="46">
        <v>11</v>
      </c>
      <c r="AG26" s="46">
        <v>4</v>
      </c>
      <c r="AH26" s="46"/>
      <c r="AI26" s="19">
        <f>IF(AB26="","",SUMPRODUCT(--(AB26:AH26&gt;AB25:AH25)))</f>
        <v>2</v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>Христијан Јованов (37)</v>
      </c>
      <c r="E27" s="359" t="s">
        <v>611</v>
      </c>
      <c r="F27" s="200">
        <v>29</v>
      </c>
      <c r="G27" s="20" t="str">
        <f>IF(F27="","",VLOOKUP(F27,$C$3:$E$44,2,FALSE))</f>
        <v>Сашо Љамов (127)</v>
      </c>
      <c r="H27" s="18">
        <v>11</v>
      </c>
      <c r="I27" s="18">
        <v>11</v>
      </c>
      <c r="J27" s="18">
        <v>11</v>
      </c>
      <c r="K27" s="18"/>
      <c r="L27" s="18"/>
      <c r="M27" s="18"/>
      <c r="N27" s="18"/>
      <c r="O27" s="19">
        <f>IF(H27="","",SUMPRODUCT(--(H27:N27&gt;H28:N28)))</f>
        <v>3</v>
      </c>
      <c r="P27" s="415">
        <v>13</v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>Нико Доага (190)</v>
      </c>
      <c r="F28" s="196">
        <v>26</v>
      </c>
      <c r="G28" s="20" t="str">
        <f>IF(F28="","",VLOOKUP(F28,$C$3:$E$44,2,FALSE))</f>
        <v>Нико Доага (190)</v>
      </c>
      <c r="H28" s="18">
        <v>8</v>
      </c>
      <c r="I28" s="18">
        <v>6</v>
      </c>
      <c r="J28" s="18">
        <v>9</v>
      </c>
      <c r="K28" s="18"/>
      <c r="L28" s="18"/>
      <c r="M28" s="18"/>
      <c r="N28" s="18"/>
      <c r="O28" s="19">
        <f>IF(H28="","",SUMPRODUCT(--(H28:N28&gt;H27:N27)))</f>
        <v>0</v>
      </c>
      <c r="P28" s="415">
        <v>14</v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>Борис Секулов (130)</v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416"/>
      <c r="Q29" s="59" t="str">
        <f>IF(O27="","",IF(O27&gt;O28,G27,G28))</f>
        <v>Сашо Љамов (127)</v>
      </c>
      <c r="R29" s="47">
        <v>7</v>
      </c>
      <c r="S29" s="47">
        <v>11</v>
      </c>
      <c r="T29" s="47">
        <v>11</v>
      </c>
      <c r="U29" s="47">
        <v>8</v>
      </c>
      <c r="V29" s="47">
        <v>11</v>
      </c>
      <c r="W29" s="47"/>
      <c r="X29" s="47"/>
      <c r="Y29" s="19">
        <f>IF(R29="","",SUMPRODUCT(--(R29:X29&gt;R30:X30)))</f>
        <v>3</v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>Марјан Крстев (52)</v>
      </c>
      <c r="P30" s="417"/>
      <c r="Q30" s="59" t="str">
        <f>IF(O31="","",IF(O31&gt;O32,G31,G32))</f>
        <v>Дамјан Стојчев (72)</v>
      </c>
      <c r="R30" s="46">
        <v>11</v>
      </c>
      <c r="S30" s="46">
        <v>8</v>
      </c>
      <c r="T30" s="46">
        <v>5</v>
      </c>
      <c r="U30" s="46">
        <v>11</v>
      </c>
      <c r="V30" s="46">
        <v>6</v>
      </c>
      <c r="W30" s="46"/>
      <c r="X30" s="46"/>
      <c r="Y30" s="19">
        <f>IF(R30="","",SUMPRODUCT(--(R30:X30&gt;R29:X29)))</f>
        <v>2</v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>Сашо Љамов (127)</v>
      </c>
      <c r="F31" s="200">
        <v>24</v>
      </c>
      <c r="G31" s="20" t="str">
        <f>IF(F31="","",VLOOKUP(F31,$C$3:$E$44,2,FALSE))</f>
        <v>Даниел Главевски Зхоу  (108)</v>
      </c>
      <c r="H31" s="18">
        <v>5</v>
      </c>
      <c r="I31" s="18">
        <v>7</v>
      </c>
      <c r="J31" s="18">
        <v>9</v>
      </c>
      <c r="K31" s="18"/>
      <c r="L31" s="18"/>
      <c r="M31" s="18"/>
      <c r="N31" s="18"/>
      <c r="O31" s="19">
        <f>IF(H31="","",SUMPRODUCT(--(H31:N31&gt;H32:N32)))</f>
        <v>0</v>
      </c>
      <c r="P31" s="415">
        <v>15</v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>Андреј Стојановски (47)</v>
      </c>
      <c r="E32" s="359" t="s">
        <v>614</v>
      </c>
      <c r="F32" s="196">
        <v>7</v>
      </c>
      <c r="G32" s="20" t="str">
        <f>IF(F32="","",VLOOKUP(F32,$C$3:$E$44,2,FALSE))</f>
        <v>Дамјан Стојчев (72)</v>
      </c>
      <c r="H32" s="18">
        <v>11</v>
      </c>
      <c r="I32" s="18">
        <v>11</v>
      </c>
      <c r="J32" s="18">
        <v>11</v>
      </c>
      <c r="K32" s="18"/>
      <c r="L32" s="18"/>
      <c r="M32" s="18"/>
      <c r="N32" s="18"/>
      <c r="O32" s="19">
        <f>IF(H32="","",SUMPRODUCT(--(H32:N32&gt;H31:N31)))</f>
        <v>3</v>
      </c>
      <c r="P32" s="415">
        <v>16</v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>Александар Јакимовски (178)</v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P33" s="418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>Ѓоко Јочкоски  (33)</v>
      </c>
      <c r="AW33" s="47">
        <v>7</v>
      </c>
      <c r="AX33" s="47">
        <v>8</v>
      </c>
      <c r="AY33" s="47">
        <v>10</v>
      </c>
      <c r="AZ33" s="47">
        <v>11</v>
      </c>
      <c r="BA33" s="47">
        <v>3</v>
      </c>
      <c r="BB33" s="47"/>
      <c r="BC33" s="47"/>
      <c r="BD33" s="19">
        <f>IF(AW33="","",SUMPRODUCT(--(AW33:BC33&gt;AW34:BC34)))</f>
        <v>1</v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>Ѓорѓе Бораниев (365)</v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19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>Кристијан Станојковски (10)</v>
      </c>
      <c r="AW34" s="46">
        <v>11</v>
      </c>
      <c r="AX34" s="46">
        <v>11</v>
      </c>
      <c r="AY34" s="46">
        <v>12</v>
      </c>
      <c r="AZ34" s="46">
        <v>7</v>
      </c>
      <c r="BA34" s="46">
        <v>11</v>
      </c>
      <c r="BB34" s="46"/>
      <c r="BC34" s="46"/>
      <c r="BD34" s="19">
        <f>IF(AW34="","",SUMPRODUCT(--(AW34:BC34&gt;AW33:BC33)))</f>
        <v>4</v>
      </c>
    </row>
    <row r="35" spans="2:60">
      <c r="E35" s="359" t="s">
        <v>614</v>
      </c>
      <c r="F35" s="199">
        <v>5</v>
      </c>
      <c r="G35" s="20" t="str">
        <f>IF(F35="","",VLOOKUP(F35,$C$3:$E$44,2,FALSE))</f>
        <v>Кристијан Станојковски (10)</v>
      </c>
      <c r="H35" s="18">
        <v>11</v>
      </c>
      <c r="I35" s="18">
        <v>11</v>
      </c>
      <c r="J35" s="18">
        <v>11</v>
      </c>
      <c r="K35" s="18"/>
      <c r="L35" s="18"/>
      <c r="M35" s="18"/>
      <c r="N35" s="18"/>
      <c r="O35" s="184">
        <f>IF(H35="","",SUMPRODUCT(--(H35:N35&gt;H36:N36)))</f>
        <v>3</v>
      </c>
      <c r="P35" s="415">
        <v>17</v>
      </c>
      <c r="AT35" s="51"/>
      <c r="AU35" s="48"/>
    </row>
    <row r="36" spans="2:60">
      <c r="F36" s="196">
        <v>22</v>
      </c>
      <c r="G36" s="20" t="str">
        <f>IF(F36="","",VLOOKUP(F36,$C$3:$E$44,2,FALSE))</f>
        <v>Томе Милев (131)</v>
      </c>
      <c r="H36" s="18">
        <v>2</v>
      </c>
      <c r="I36" s="18">
        <v>3</v>
      </c>
      <c r="J36" s="18">
        <v>4</v>
      </c>
      <c r="K36" s="18"/>
      <c r="L36" s="18"/>
      <c r="M36" s="18"/>
      <c r="N36" s="18"/>
      <c r="O36" s="19">
        <f>IF(H36="","",SUMPRODUCT(--(H36:N36&gt;H35:N35)))</f>
        <v>0</v>
      </c>
      <c r="P36" s="415">
        <v>18</v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416"/>
      <c r="Q37" s="59" t="str">
        <f>IF(O35="","",IF(O35&gt;O36,G35,G36))</f>
        <v>Кристијан Станојковски (10)</v>
      </c>
      <c r="R37" s="47">
        <v>11</v>
      </c>
      <c r="S37" s="47">
        <v>11</v>
      </c>
      <c r="T37" s="47">
        <v>11</v>
      </c>
      <c r="U37" s="47"/>
      <c r="V37" s="47"/>
      <c r="W37" s="47"/>
      <c r="X37" s="47"/>
      <c r="Y37" s="19">
        <f>IF(R37="","",SUMPRODUCT(--(R37:X37&gt;R38:X38)))</f>
        <v>3</v>
      </c>
      <c r="AT37" s="50"/>
      <c r="AU37" s="49"/>
    </row>
    <row r="38" spans="2:60">
      <c r="P38" s="417"/>
      <c r="Q38" s="59" t="str">
        <f>IF(O39="","",IF(O39&gt;O40,G39,G40))</f>
        <v>Христијан Јованов (37)</v>
      </c>
      <c r="R38" s="46">
        <v>4</v>
      </c>
      <c r="S38" s="46">
        <v>7</v>
      </c>
      <c r="T38" s="46">
        <v>5</v>
      </c>
      <c r="U38" s="46"/>
      <c r="V38" s="46"/>
      <c r="W38" s="46"/>
      <c r="X38" s="46"/>
      <c r="Y38" s="19">
        <f>IF(R38="","",SUMPRODUCT(--(R38:X38&gt;R37:X37)))</f>
        <v>0</v>
      </c>
      <c r="AT38" s="51"/>
      <c r="AU38" s="48"/>
      <c r="AV38" s="58" t="s">
        <v>56</v>
      </c>
    </row>
    <row r="39" spans="2:60">
      <c r="F39" s="200">
        <v>14</v>
      </c>
      <c r="G39" s="20" t="str">
        <f>IF(F39="","",VLOOKUP(F39,$C$3:$E$44,2,FALSE))</f>
        <v>Александар Арсов (237)</v>
      </c>
      <c r="H39" s="18">
        <v>7</v>
      </c>
      <c r="I39" s="18">
        <v>7</v>
      </c>
      <c r="J39" s="18">
        <v>8</v>
      </c>
      <c r="K39" s="18"/>
      <c r="L39" s="18"/>
      <c r="M39" s="18"/>
      <c r="N39" s="18"/>
      <c r="O39" s="19">
        <f>IF(H39="","",SUMPRODUCT(--(H39:N39&gt;H40:N40)))</f>
        <v>0</v>
      </c>
      <c r="P39" s="415">
        <v>19</v>
      </c>
      <c r="Z39" s="52"/>
      <c r="AT39" s="51"/>
      <c r="AU39" s="48"/>
    </row>
    <row r="40" spans="2:60">
      <c r="E40" s="359" t="s">
        <v>611</v>
      </c>
      <c r="F40" s="196">
        <v>25</v>
      </c>
      <c r="G40" s="20" t="str">
        <f>IF(F40="","",VLOOKUP(F40,$C$3:$E$44,2,FALSE))</f>
        <v>Христијан Јованов (37)</v>
      </c>
      <c r="H40" s="18">
        <v>11</v>
      </c>
      <c r="I40" s="18">
        <v>11</v>
      </c>
      <c r="J40" s="18">
        <v>11</v>
      </c>
      <c r="K40" s="18"/>
      <c r="L40" s="18"/>
      <c r="M40" s="18"/>
      <c r="N40" s="18"/>
      <c r="O40" s="19">
        <f>IF(H40="","",SUMPRODUCT(--(H40:N40&gt;H39:N39)))</f>
        <v>3</v>
      </c>
      <c r="P40" s="415">
        <v>20</v>
      </c>
      <c r="Z40" s="52"/>
      <c r="AT40" s="51"/>
      <c r="AU40" s="48"/>
      <c r="BF40" s="42"/>
      <c r="BG40" s="537" t="str">
        <f>IF(BD33="","",IF(BD33&gt;BD34,AV33,AV34))</f>
        <v>Кристијан Станојковски (10)</v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P41" s="418"/>
      <c r="Z41" s="53"/>
      <c r="AA41" s="60" t="str">
        <f>IF(Y37="","",IF(Y37&gt;Y38,Q37,Q38))</f>
        <v>Кристијан Станојковски (10)</v>
      </c>
      <c r="AB41" s="47">
        <v>11</v>
      </c>
      <c r="AC41" s="47">
        <v>11</v>
      </c>
      <c r="AD41" s="47">
        <v>11</v>
      </c>
      <c r="AE41" s="47">
        <v>11</v>
      </c>
      <c r="AF41" s="47"/>
      <c r="AG41" s="47"/>
      <c r="AH41" s="47"/>
      <c r="AI41" s="19">
        <f>IF(AB41="","",SUMPRODUCT(--(AB41:AH41&gt;AB42:AH42)))</f>
        <v>4</v>
      </c>
      <c r="AT41" s="50"/>
      <c r="AU41" s="49"/>
      <c r="AV41" s="120" t="str">
        <f>IF(AS17="","",IF(AS17&lt;AS18,AK17,AK18))</f>
        <v>Васко Манасијески (36)</v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37"/>
    </row>
    <row r="42" spans="2:60">
      <c r="Z42" s="33"/>
      <c r="AA42" s="60" t="str">
        <f>IF(Y45="","",IF(Y45&gt;Y46,Q45,Q46))</f>
        <v>Сашко Богатинов (69)</v>
      </c>
      <c r="AB42" s="46">
        <v>5</v>
      </c>
      <c r="AC42" s="46">
        <v>8</v>
      </c>
      <c r="AD42" s="46">
        <v>4</v>
      </c>
      <c r="AE42" s="46">
        <v>8</v>
      </c>
      <c r="AF42" s="46"/>
      <c r="AG42" s="46"/>
      <c r="AH42" s="46"/>
      <c r="AI42" s="19">
        <f>IF(AB42="","",SUMPRODUCT(--(AB42:AH42&gt;AB41:AH41)))</f>
        <v>0</v>
      </c>
      <c r="AT42" s="52"/>
      <c r="AU42" s="57"/>
      <c r="AV42" s="120" t="str">
        <f>IF(AS49="","",IF(AS49&lt;AS50,AK49,AK50))</f>
        <v>Петар Костовски (12)</v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36" t="str">
        <f>IF(BD33=BD34,"",IF(BD33="","",IF(BD33&lt;BD34,AV33,AV34)))</f>
        <v>Ѓоко Јочкоски  (33)</v>
      </c>
      <c r="BG42" s="537"/>
      <c r="BH42" s="537" t="str">
        <f>IF(BD33=BD34,"",IF(BD41=BD42,AV41,IF(BD41&gt;BD42,AV41,AV42)))</f>
        <v>Васко Манасијески (36)</v>
      </c>
    </row>
    <row r="43" spans="2:60">
      <c r="E43" s="359" t="s">
        <v>612</v>
      </c>
      <c r="F43" s="200">
        <v>23</v>
      </c>
      <c r="G43" s="20" t="str">
        <f>IF(F43="","",VLOOKUP(F43,$C$3:$E$44,2,FALSE))</f>
        <v>Слободан Грковски (54)</v>
      </c>
      <c r="H43" s="18">
        <v>11</v>
      </c>
      <c r="I43" s="18">
        <v>5</v>
      </c>
      <c r="J43" s="18">
        <v>11</v>
      </c>
      <c r="K43" s="18">
        <v>8</v>
      </c>
      <c r="L43" s="18">
        <v>10</v>
      </c>
      <c r="M43" s="18"/>
      <c r="N43" s="18"/>
      <c r="O43" s="19">
        <f>IF(H43="","",SUMPRODUCT(--(H43:N43&gt;H44:N44)))</f>
        <v>2</v>
      </c>
      <c r="P43" s="415">
        <v>21</v>
      </c>
      <c r="Z43" s="52"/>
      <c r="AJ43" s="52"/>
      <c r="AT43" s="52"/>
      <c r="AU43" s="48"/>
      <c r="BF43" s="536"/>
      <c r="BG43" s="42"/>
      <c r="BH43" s="537"/>
    </row>
    <row r="44" spans="2:60">
      <c r="F44" s="196">
        <v>12</v>
      </c>
      <c r="G44" s="20" t="str">
        <f>IF(F44="","",VLOOKUP(F44,$C$3:$E$44,2,FALSE))</f>
        <v>Андреј Васевски (203)</v>
      </c>
      <c r="H44" s="18">
        <v>7</v>
      </c>
      <c r="I44" s="18">
        <v>11</v>
      </c>
      <c r="J44" s="18">
        <v>4</v>
      </c>
      <c r="K44" s="18">
        <v>11</v>
      </c>
      <c r="L44" s="18">
        <v>12</v>
      </c>
      <c r="M44" s="18"/>
      <c r="N44" s="18"/>
      <c r="O44" s="19">
        <f>IF(H44="","",SUMPRODUCT(--(H44:N44&gt;H43:N43)))</f>
        <v>3</v>
      </c>
      <c r="P44" s="415">
        <v>22</v>
      </c>
      <c r="Z44" s="52"/>
      <c r="AJ44" s="52"/>
      <c r="AT44" s="52"/>
      <c r="AU44" s="48"/>
      <c r="BF44" s="536"/>
      <c r="BG44" s="42"/>
      <c r="BH44" s="537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416"/>
      <c r="Q45" s="59" t="str">
        <f>IF(O43="","",IF(O43&gt;O44,G43,G44))</f>
        <v>Андреј Васевски (203)</v>
      </c>
      <c r="R45" s="47">
        <v>8</v>
      </c>
      <c r="S45" s="47">
        <v>8</v>
      </c>
      <c r="T45" s="47">
        <v>5</v>
      </c>
      <c r="U45" s="47"/>
      <c r="V45" s="47"/>
      <c r="W45" s="47"/>
      <c r="X45" s="47"/>
      <c r="Y45" s="19">
        <f>IF(R45="","",SUMPRODUCT(--(R45:X45&gt;R46:X46)))</f>
        <v>0</v>
      </c>
      <c r="AJ45" s="53"/>
      <c r="AT45" s="53"/>
      <c r="AU45" s="49"/>
      <c r="BF45"/>
      <c r="BG45"/>
      <c r="BH45" s="507" t="str">
        <f>IF(BD33=BD34,"",IF(OR(BD41&gt;BD42,BD41&lt;BD42),"",AV42))</f>
        <v>Петар Костовски (12)</v>
      </c>
    </row>
    <row r="46" spans="2:60" ht="16.149999999999999" customHeight="1" thickBot="1">
      <c r="P46" s="417"/>
      <c r="Q46" s="59" t="str">
        <f>IF(O47="","",IF(O47&gt;O48,G47,G48))</f>
        <v>Сашко Богатинов (69)</v>
      </c>
      <c r="R46" s="46">
        <v>11</v>
      </c>
      <c r="S46" s="46">
        <v>11</v>
      </c>
      <c r="T46" s="46">
        <v>11</v>
      </c>
      <c r="U46" s="46"/>
      <c r="V46" s="46"/>
      <c r="W46" s="46"/>
      <c r="X46" s="46"/>
      <c r="Y46" s="19">
        <f>IF(R46="","",SUMPRODUCT(--(R46:X46&gt;R45:X45)))</f>
        <v>3</v>
      </c>
      <c r="AJ46" s="52"/>
      <c r="AT46" s="52"/>
      <c r="AU46" s="48"/>
      <c r="BG46" s="509" t="s">
        <v>58</v>
      </c>
      <c r="BH46" s="507"/>
    </row>
    <row r="47" spans="2:60" ht="16.149999999999999" customHeight="1" thickBot="1">
      <c r="F47" s="200">
        <v>8</v>
      </c>
      <c r="G47" s="20" t="str">
        <f>IF(F47="","",VLOOKUP(F47,$C$3:$E$44,2,FALSE))</f>
        <v>Кристијан Каламадевски (347)</v>
      </c>
      <c r="H47" s="18">
        <v>3</v>
      </c>
      <c r="I47" s="18">
        <v>6</v>
      </c>
      <c r="J47" s="18">
        <v>12</v>
      </c>
      <c r="K47" s="18">
        <v>10</v>
      </c>
      <c r="L47" s="18"/>
      <c r="M47" s="18"/>
      <c r="N47" s="18"/>
      <c r="O47" s="19">
        <f>IF(H47="","",SUMPRODUCT(--(H47:N47&gt;H48:N48)))</f>
        <v>1</v>
      </c>
      <c r="P47" s="415">
        <v>23</v>
      </c>
      <c r="AJ47" s="52"/>
      <c r="AT47" s="52"/>
      <c r="AU47" s="48"/>
      <c r="BF47" s="62"/>
      <c r="BG47" s="510"/>
      <c r="BH47" s="535"/>
    </row>
    <row r="48" spans="2:60">
      <c r="E48" s="359" t="s">
        <v>613</v>
      </c>
      <c r="F48" s="196">
        <v>15</v>
      </c>
      <c r="G48" s="20" t="str">
        <f>IF(F48="","",VLOOKUP(F48,$C$3:$E$44,2,FALSE))</f>
        <v>Сашко Богатинов (69)</v>
      </c>
      <c r="H48" s="18">
        <v>11</v>
      </c>
      <c r="I48" s="18">
        <v>11</v>
      </c>
      <c r="J48" s="18">
        <v>10</v>
      </c>
      <c r="K48" s="18">
        <v>12</v>
      </c>
      <c r="L48" s="18"/>
      <c r="M48" s="18"/>
      <c r="N48" s="18"/>
      <c r="O48" s="19">
        <f>IF(H48="","",SUMPRODUCT(--(H48:N48&gt;H47:N47)))</f>
        <v>3</v>
      </c>
      <c r="P48" s="415">
        <v>24</v>
      </c>
      <c r="AJ48" s="52"/>
      <c r="AT48" s="52"/>
      <c r="AU48" s="48"/>
      <c r="BF48" s="533" t="s">
        <v>59</v>
      </c>
      <c r="BG48" s="510"/>
      <c r="BH48" s="515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P49" s="418"/>
      <c r="AJ49" s="53"/>
      <c r="AK49" s="109" t="str">
        <f>IF(AI41="","",IF(AI41&gt;AI42,AA41,AA42))</f>
        <v>Кристијан Станојковски (10)</v>
      </c>
      <c r="AL49" s="47">
        <v>11</v>
      </c>
      <c r="AM49" s="47">
        <v>8</v>
      </c>
      <c r="AN49" s="47">
        <v>11</v>
      </c>
      <c r="AO49" s="47">
        <v>11</v>
      </c>
      <c r="AP49" s="47">
        <v>11</v>
      </c>
      <c r="AQ49" s="47"/>
      <c r="AR49" s="47"/>
      <c r="AS49" s="19">
        <f>IF(AL49="","",SUMPRODUCT(--(AL49:AR49&gt;AL50:AR50)))</f>
        <v>4</v>
      </c>
      <c r="BF49" s="534"/>
      <c r="BG49" s="511"/>
      <c r="BH49" s="516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P50" s="418"/>
      <c r="AJ50" s="55"/>
      <c r="AK50" s="109" t="str">
        <f>IF(AI57="","",IF(AI57&gt;AI58,AA57,AA58))</f>
        <v>Петар Костовски (12)</v>
      </c>
      <c r="AL50" s="47">
        <v>7</v>
      </c>
      <c r="AM50" s="47">
        <v>11</v>
      </c>
      <c r="AN50" s="47">
        <v>5</v>
      </c>
      <c r="AO50" s="47">
        <v>7</v>
      </c>
      <c r="AP50" s="47">
        <v>7</v>
      </c>
      <c r="AQ50" s="47"/>
      <c r="AR50" s="47"/>
      <c r="AS50" s="19">
        <f>IF(AL50="","",SUMPRODUCT(--(AL50:AR50&gt;AL49:AR49)))</f>
        <v>1</v>
      </c>
    </row>
    <row r="51" spans="5:61">
      <c r="E51" s="359" t="s">
        <v>613</v>
      </c>
      <c r="F51" s="200">
        <v>9</v>
      </c>
      <c r="G51" s="20" t="str">
        <f>IF(F51="","",VLOOKUP(F51,$C$3:$E$44,2,FALSE))</f>
        <v>Алeксандар Марковиќ (3)</v>
      </c>
      <c r="H51" s="18">
        <v>7</v>
      </c>
      <c r="I51" s="18">
        <v>11</v>
      </c>
      <c r="J51" s="18">
        <v>12</v>
      </c>
      <c r="K51" s="18">
        <v>10</v>
      </c>
      <c r="L51" s="18">
        <v>7</v>
      </c>
      <c r="M51" s="18"/>
      <c r="N51" s="18"/>
      <c r="O51" s="19">
        <f>IF(H51="","",SUMPRODUCT(--(H51:N51&gt;H52:N52)))</f>
        <v>2</v>
      </c>
      <c r="P51" s="415">
        <v>25</v>
      </c>
      <c r="AJ51" s="52"/>
      <c r="BE51" s="494" t="s">
        <v>81</v>
      </c>
      <c r="BF51" s="495"/>
      <c r="BG51" s="495"/>
      <c r="BH51" s="495"/>
      <c r="BI51" s="496"/>
    </row>
    <row r="52" spans="5:61">
      <c r="F52" s="196">
        <v>32</v>
      </c>
      <c r="G52" s="20" t="str">
        <f>IF(F52="","",VLOOKUP(F52,$C$3:$E$44,2,FALSE))</f>
        <v>Ѓорѓе Бораниев (365)</v>
      </c>
      <c r="H52" s="18">
        <v>11</v>
      </c>
      <c r="I52" s="18">
        <v>5</v>
      </c>
      <c r="J52" s="18">
        <v>10</v>
      </c>
      <c r="K52" s="18">
        <v>12</v>
      </c>
      <c r="L52" s="18">
        <v>11</v>
      </c>
      <c r="M52" s="18"/>
      <c r="N52" s="18"/>
      <c r="O52" s="19">
        <f>IF(H52="","",SUMPRODUCT(--(H52:N52&gt;H51:N51)))</f>
        <v>3</v>
      </c>
      <c r="P52" s="415">
        <v>26</v>
      </c>
      <c r="AJ52" s="52"/>
      <c r="BE52" s="347">
        <v>1</v>
      </c>
      <c r="BF52" s="348" t="s">
        <v>82</v>
      </c>
      <c r="BG52" s="532" t="str">
        <f>IF(BD33="","",IF(BD33&gt;BD34,AV33,AV34))</f>
        <v>Кристијан Станојковски (10)</v>
      </c>
      <c r="BH52" s="532"/>
      <c r="BI52" s="532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416"/>
      <c r="Q53" s="59" t="str">
        <f>IF(O51="","",IF(O51&gt;O52,G51,G52))</f>
        <v>Ѓорѓе Бораниев (365)</v>
      </c>
      <c r="R53" s="47">
        <v>8</v>
      </c>
      <c r="S53" s="47">
        <v>9</v>
      </c>
      <c r="T53" s="47">
        <v>6</v>
      </c>
      <c r="U53" s="47"/>
      <c r="V53" s="47"/>
      <c r="W53" s="47"/>
      <c r="X53" s="47"/>
      <c r="Y53" s="19">
        <f>IF(R53="","",SUMPRODUCT(--(R53:X53&gt;R54:X54)))</f>
        <v>0</v>
      </c>
      <c r="AJ53" s="53"/>
      <c r="BE53" s="116">
        <v>2</v>
      </c>
      <c r="BF53" s="117" t="s">
        <v>79</v>
      </c>
      <c r="BG53" s="498" t="str">
        <f>IF(BD33=BD34,"",IF(BD33="","",IF(BD33&lt;BD34,AV33,AV34)))</f>
        <v>Ѓоко Јочкоски  (33)</v>
      </c>
      <c r="BH53" s="498"/>
      <c r="BI53" s="498"/>
    </row>
    <row r="54" spans="5:61">
      <c r="P54" s="417"/>
      <c r="Q54" s="59" t="str">
        <f>IF(O55="","",IF(O55&gt;O56,G55,G56))</f>
        <v>Димитрие Жоговски (126)</v>
      </c>
      <c r="R54" s="46">
        <v>11</v>
      </c>
      <c r="S54" s="46">
        <v>11</v>
      </c>
      <c r="T54" s="46">
        <v>11</v>
      </c>
      <c r="U54" s="46"/>
      <c r="V54" s="46"/>
      <c r="W54" s="46"/>
      <c r="X54" s="46"/>
      <c r="Y54" s="19">
        <f>IF(R54="","",SUMPRODUCT(--(R54:X54&gt;R53:X53)))</f>
        <v>3</v>
      </c>
      <c r="AJ54" s="52"/>
      <c r="BE54" s="112">
        <v>3</v>
      </c>
      <c r="BF54" s="22" t="str">
        <f>IF(BD41="","Semi-Finalist","Third Place")</f>
        <v>Semi-Finalist</v>
      </c>
      <c r="BG54" s="499" t="str">
        <f>IF(BD33=BD34,"",IF(BD41=BD42,AV41,IF(BD41&gt;BD42,AV41,AV42)))</f>
        <v>Васко Манасијески (36)</v>
      </c>
      <c r="BH54" s="499"/>
      <c r="BI54" s="499"/>
    </row>
    <row r="55" spans="5:61">
      <c r="F55" s="200">
        <v>2</v>
      </c>
      <c r="G55" s="20" t="str">
        <f>IF(F55="","",VLOOKUP(F55,$C$3:$E$44,2,FALSE))</f>
        <v>Бобан Лашкоски (17)</v>
      </c>
      <c r="H55" s="18">
        <v>5</v>
      </c>
      <c r="I55" s="18">
        <v>3</v>
      </c>
      <c r="J55" s="18">
        <v>8</v>
      </c>
      <c r="K55" s="18"/>
      <c r="L55" s="18"/>
      <c r="M55" s="18"/>
      <c r="N55" s="18"/>
      <c r="O55" s="19">
        <f>IF(H55="","",SUMPRODUCT(--(H55:N55&gt;H56:N56)))</f>
        <v>0</v>
      </c>
      <c r="P55" s="415">
        <v>27</v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9" t="str">
        <f>IF(BD33=BD34,"",IF(BD41=BD42,AV42,IF(BD42&lt;BD41,AV42,AV41)))</f>
        <v>Петар Костовски (12)</v>
      </c>
      <c r="BH55" s="499"/>
      <c r="BI55" s="499"/>
    </row>
    <row r="56" spans="5:61">
      <c r="E56" s="359" t="s">
        <v>612</v>
      </c>
      <c r="F56" s="196">
        <v>19</v>
      </c>
      <c r="G56" s="20" t="str">
        <f>IF(F56="","",VLOOKUP(F56,$C$3:$E$44,2,FALSE))</f>
        <v>Димитрие Жоговски (126)</v>
      </c>
      <c r="H56" s="18">
        <v>11</v>
      </c>
      <c r="I56" s="18">
        <v>11</v>
      </c>
      <c r="J56" s="18">
        <v>11</v>
      </c>
      <c r="K56" s="18"/>
      <c r="L56" s="18"/>
      <c r="M56" s="18"/>
      <c r="N56" s="18"/>
      <c r="O56" s="19">
        <f>IF(H56="","",SUMPRODUCT(--(H56:N56&gt;H55:N55)))</f>
        <v>3</v>
      </c>
      <c r="P56" s="415">
        <v>28</v>
      </c>
      <c r="Z56" s="52"/>
      <c r="AJ56" s="52"/>
      <c r="BE56" s="113">
        <v>5</v>
      </c>
      <c r="BF56" s="114" t="s">
        <v>80</v>
      </c>
      <c r="BG56" s="500" t="str">
        <f>IF(AI9="","",IF(AI9&lt;AI10,AA9,AA10))</f>
        <v>Александар Јакимовски (178)</v>
      </c>
      <c r="BH56" s="500"/>
      <c r="BI56" s="500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P57" s="418"/>
      <c r="Z57" s="53"/>
      <c r="AA57" s="60" t="str">
        <f>IF(Y53="","",IF(Y53&gt;Y54,Q53,Q54))</f>
        <v>Димитрие Жоговски (126)</v>
      </c>
      <c r="AB57" s="47">
        <v>0</v>
      </c>
      <c r="AC57" s="47">
        <v>3</v>
      </c>
      <c r="AD57" s="47">
        <v>9</v>
      </c>
      <c r="AE57" s="47">
        <v>6</v>
      </c>
      <c r="AF57" s="47"/>
      <c r="AG57" s="47"/>
      <c r="AH57" s="47"/>
      <c r="AI57" s="19">
        <f>IF(AB57="","",SUMPRODUCT(--(AB57:AH57&gt;AB58:AH58)))</f>
        <v>0</v>
      </c>
      <c r="BE57" s="113">
        <v>5</v>
      </c>
      <c r="BF57" s="114" t="s">
        <v>80</v>
      </c>
      <c r="BG57" s="500" t="str">
        <f>IF(AI25="","",IF(AI25&lt;AI26,AA25,AA26))</f>
        <v>Сашо Љамов (127)</v>
      </c>
      <c r="BH57" s="500"/>
      <c r="BI57" s="500"/>
    </row>
    <row r="58" spans="5:61">
      <c r="Z58" s="33"/>
      <c r="AA58" s="60" t="str">
        <f>IF(Y61="","",IF(Y61&gt;Y62,Q61,Q62))</f>
        <v>Петар Костовски (12)</v>
      </c>
      <c r="AB58" s="46">
        <v>11</v>
      </c>
      <c r="AC58" s="46">
        <v>11</v>
      </c>
      <c r="AD58" s="46">
        <v>11</v>
      </c>
      <c r="AE58" s="46">
        <v>11</v>
      </c>
      <c r="AF58" s="46"/>
      <c r="AG58" s="46"/>
      <c r="AH58" s="46"/>
      <c r="AI58" s="19">
        <f>IF(AB58="","",SUMPRODUCT(--(AB58:AH58&gt;AB57:AH57)))</f>
        <v>4</v>
      </c>
      <c r="BE58" s="113">
        <v>5</v>
      </c>
      <c r="BF58" s="114" t="s">
        <v>80</v>
      </c>
      <c r="BG58" s="500" t="str">
        <f>IF(AI41="","",IF(AI41&lt;AI42,AA41,AA42))</f>
        <v>Сашко Богатинов (69)</v>
      </c>
      <c r="BH58" s="500"/>
      <c r="BI58" s="500"/>
    </row>
    <row r="59" spans="5:61">
      <c r="E59" s="359" t="s">
        <v>611</v>
      </c>
      <c r="F59" s="200">
        <v>27</v>
      </c>
      <c r="G59" s="20" t="str">
        <f>IF(F59="","",VLOOKUP(F59,$C$3:$E$44,2,FALSE))</f>
        <v>Борис Секулов (130)</v>
      </c>
      <c r="H59" s="18">
        <v>5</v>
      </c>
      <c r="I59" s="18">
        <v>9</v>
      </c>
      <c r="J59" s="18">
        <v>8</v>
      </c>
      <c r="K59" s="18"/>
      <c r="L59" s="18"/>
      <c r="M59" s="18"/>
      <c r="N59" s="18"/>
      <c r="O59" s="19">
        <f>IF(H59="","",SUMPRODUCT(--(H59:N59&gt;H60:N60)))</f>
        <v>0</v>
      </c>
      <c r="P59" s="415">
        <v>29</v>
      </c>
      <c r="Z59" s="52"/>
      <c r="BE59" s="113">
        <v>5</v>
      </c>
      <c r="BF59" s="114" t="s">
        <v>80</v>
      </c>
      <c r="BG59" s="500" t="str">
        <f>IF(AI57="","",IF(AI57&lt;AI58,AA57,AA58))</f>
        <v>Димитрие Жоговски (126)</v>
      </c>
      <c r="BH59" s="500"/>
      <c r="BI59" s="500"/>
    </row>
    <row r="60" spans="5:61">
      <c r="F60" s="196">
        <v>18</v>
      </c>
      <c r="G60" s="20" t="str">
        <f>IF(F60="","",VLOOKUP(F60,$C$3:$E$44,2,FALSE))</f>
        <v>Антонио Стомнароски (458)</v>
      </c>
      <c r="H60" s="18">
        <v>11</v>
      </c>
      <c r="I60" s="18">
        <v>11</v>
      </c>
      <c r="J60" s="18">
        <v>11</v>
      </c>
      <c r="K60" s="18"/>
      <c r="L60" s="18"/>
      <c r="M60" s="18"/>
      <c r="N60" s="18"/>
      <c r="O60" s="19">
        <f>IF(H60="","",SUMPRODUCT(--(H60:N60&gt;H59:N59)))</f>
        <v>3</v>
      </c>
      <c r="P60" s="415">
        <v>30</v>
      </c>
      <c r="Z60" s="52"/>
      <c r="BE60" s="118">
        <v>9</v>
      </c>
      <c r="BF60" s="24" t="s">
        <v>20</v>
      </c>
      <c r="BG60" s="528" t="str">
        <f>IF(Y5="","",IF(Y5&lt;Y6,Q5,Q6))</f>
        <v>Филип Младеновски (70)</v>
      </c>
      <c r="BH60" s="528"/>
      <c r="BI60" s="528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416"/>
      <c r="Q61" s="59" t="str">
        <f>IF(O59="","",IF(O59&gt;O60,G59,G60))</f>
        <v>Антонио Стомнароски (458)</v>
      </c>
      <c r="R61" s="47">
        <v>5</v>
      </c>
      <c r="S61" s="47">
        <v>9</v>
      </c>
      <c r="T61" s="47">
        <v>7</v>
      </c>
      <c r="U61" s="47"/>
      <c r="V61" s="47"/>
      <c r="W61" s="47"/>
      <c r="X61" s="47"/>
      <c r="Y61" s="19">
        <f>IF(R61="","",SUMPRODUCT(--(R61:X61&gt;R62:X62)))</f>
        <v>0</v>
      </c>
      <c r="Z61" s="49"/>
      <c r="BE61" s="118">
        <v>9</v>
      </c>
      <c r="BF61" s="24" t="s">
        <v>20</v>
      </c>
      <c r="BG61" s="528" t="str">
        <f>IF(Y13="","",IF(Y13&lt;Y14,Q13,Q14))</f>
        <v>Лука Стојчев (73)</v>
      </c>
      <c r="BH61" s="528"/>
      <c r="BI61" s="528"/>
    </row>
    <row r="62" spans="5:61">
      <c r="P62" s="417"/>
      <c r="Q62" s="59" t="str">
        <f>IF(O63="","",IF(O63&gt;O64,G63,G64))</f>
        <v>Петар Костовски (12)</v>
      </c>
      <c r="R62" s="46">
        <v>11</v>
      </c>
      <c r="S62" s="46">
        <v>11</v>
      </c>
      <c r="T62" s="46">
        <v>11</v>
      </c>
      <c r="U62" s="46"/>
      <c r="V62" s="46"/>
      <c r="W62" s="46"/>
      <c r="X62" s="46"/>
      <c r="Y62" s="19">
        <f>IF(R62="","",SUMPRODUCT(--(R62:X62&gt;R61:X61)))</f>
        <v>3</v>
      </c>
      <c r="Z62" s="48"/>
      <c r="BE62" s="118">
        <v>9</v>
      </c>
      <c r="BF62" s="24" t="s">
        <v>20</v>
      </c>
      <c r="BG62" s="528" t="str">
        <f>IF(Y21="","",IF(Y21&lt;Y22,Q21,Q22))</f>
        <v>Христијан Јовановски  (2)</v>
      </c>
      <c r="BH62" s="528"/>
      <c r="BI62" s="528"/>
    </row>
    <row r="63" spans="5:61">
      <c r="F63" s="200">
        <v>30</v>
      </c>
      <c r="G63" s="20" t="str">
        <f>IF(F63="","",VLOOKUP(F63,$C$3:$E$44,2,FALSE))</f>
        <v>Андреј Стојановски (47)</v>
      </c>
      <c r="H63" s="18">
        <v>3</v>
      </c>
      <c r="I63" s="18">
        <v>5</v>
      </c>
      <c r="J63" s="18">
        <v>5</v>
      </c>
      <c r="K63" s="18"/>
      <c r="L63" s="18"/>
      <c r="M63" s="18"/>
      <c r="N63" s="18"/>
      <c r="O63" s="19">
        <f>IF(H63="","",SUMPRODUCT(--(H63:N63&gt;H64:N64)))</f>
        <v>0</v>
      </c>
      <c r="P63" s="415">
        <v>31</v>
      </c>
      <c r="BE63" s="118">
        <v>9</v>
      </c>
      <c r="BF63" s="24" t="s">
        <v>20</v>
      </c>
      <c r="BG63" s="528" t="str">
        <f>IF(Y29="","",IF(Y29&lt;Y30,Q29,Q30))</f>
        <v>Дамјан Стојчев (72)</v>
      </c>
      <c r="BH63" s="528"/>
      <c r="BI63" s="528"/>
    </row>
    <row r="64" spans="5:61">
      <c r="E64" s="359" t="s">
        <v>615</v>
      </c>
      <c r="F64" s="196">
        <v>3</v>
      </c>
      <c r="G64" s="20" t="str">
        <f>IF(F64="","",VLOOKUP(F64,$C$3:$E$44,2,FALSE))</f>
        <v>Петар Костовски (12)</v>
      </c>
      <c r="H64" s="18">
        <v>11</v>
      </c>
      <c r="I64" s="18">
        <v>11</v>
      </c>
      <c r="J64" s="18">
        <v>11</v>
      </c>
      <c r="K64" s="18"/>
      <c r="L64" s="18"/>
      <c r="M64" s="18"/>
      <c r="N64" s="18"/>
      <c r="O64" s="19">
        <f>IF(H64="","",SUMPRODUCT(--(H64:N64&gt;H63:N63)))</f>
        <v>3</v>
      </c>
      <c r="P64" s="415">
        <v>32</v>
      </c>
      <c r="BE64" s="118">
        <v>9</v>
      </c>
      <c r="BF64" s="24" t="s">
        <v>20</v>
      </c>
      <c r="BG64" s="528" t="str">
        <f>IF(Y37="","",IF(Y37&lt;Y38,Q37,Q38))</f>
        <v>Христијан Јованов (37)</v>
      </c>
      <c r="BH64" s="528"/>
      <c r="BI64" s="528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28" t="str">
        <f>IF(Y45="","",IF(Y45&lt;Y46,Q45,Q46))</f>
        <v>Андреј Васевски (203)</v>
      </c>
      <c r="BH65" s="528"/>
      <c r="BI65" s="528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28" t="str">
        <f>IF(Y53="","",IF(Y53&lt;Y54,Q53,Q54))</f>
        <v>Ѓорѓе Бораниев (365)</v>
      </c>
      <c r="BH66" s="528"/>
      <c r="BI66" s="528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28" t="str">
        <f>IF(Y61="","",IF(Y61&lt;Y62,Q61,Q62))</f>
        <v>Антонио Стомнароски (458)</v>
      </c>
      <c r="BH67" s="528"/>
      <c r="BI67" s="528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17" t="s">
        <v>61</v>
      </c>
      <c r="D1" s="504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Филип Младеновски (70)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Бобан Лашкоски (17)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Петар Костовски (12)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Роберт Михајловски (58)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Кристијан Станојковски (10)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Мартин Калески (122)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Дамјан Стојчев (72)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Кристијан Каламадевски (347)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>Алeксандар Марковиќ (3)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>Зоран Димитријевски (74)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>Лука Стојчев (73)</v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>Андреј Васевски (203)</v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>Васко Манасијески (36)</v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>Александар Арсов (237)</v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>Сашко Богатинов (69)</v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>Мирослав Симиќ (55)</v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>Ѓоко Јочкоски  (33)</v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>Антонио Стомнароски (458)</v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>Димитрие Жоговски (126)</v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>Игор Саздов (62)</v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>Христијан Јовановски  (2)</v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>Томе Милев (131)</v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>Слободан Грковски (54)</v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>Даниел Главевски Зхоу  (108)</v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>Христијан Јованов (37)</v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>Нико Доага (190)</v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>Борис Секулов (130)</v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>Марјан Крстев (52)</v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>Сашо Љамов (127)</v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>Андреј Стојановски (47)</v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>Александар Јакимовски (178)</v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>Ѓорѓе Бораниев (365)</v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2023-03-26T18:04:28Z</dcterms:modified>
</cp:coreProperties>
</file>